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15 - 16 ASMC File\"/>
    </mc:Choice>
  </mc:AlternateContent>
  <bookViews>
    <workbookView xWindow="360" yWindow="60" windowWidth="7500" windowHeight="5775"/>
  </bookViews>
  <sheets>
    <sheet name="2015-16 Budget" sheetId="5" r:id="rId1"/>
    <sheet name="2015-16 Budget by Category" sheetId="4" r:id="rId2"/>
  </sheets>
  <definedNames>
    <definedName name="_xlnm.Print_Area" localSheetId="0">'2015-16 Budget'!$A$1:$S$51</definedName>
    <definedName name="_xlnm.Print_Area" localSheetId="1">'2015-16 Budget by Category'!$A$1:$L$44</definedName>
  </definedNames>
  <calcPr calcId="152511"/>
</workbook>
</file>

<file path=xl/calcChain.xml><?xml version="1.0" encoding="utf-8"?>
<calcChain xmlns="http://schemas.openxmlformats.org/spreadsheetml/2006/main">
  <c r="B7" i="5" l="1"/>
  <c r="D7" i="5"/>
  <c r="D13" i="5"/>
  <c r="D15" i="5"/>
  <c r="D14" i="5"/>
  <c r="Q33" i="5"/>
  <c r="Q36" i="5"/>
  <c r="Q7" i="5"/>
  <c r="Q16" i="5"/>
  <c r="Q37" i="5"/>
  <c r="Q34" i="5"/>
  <c r="Q35" i="5"/>
  <c r="D22" i="5"/>
  <c r="D12" i="5"/>
  <c r="D20" i="5"/>
  <c r="F13" i="5"/>
  <c r="Q32" i="5" l="1"/>
  <c r="Q26" i="5" l="1"/>
  <c r="Q40" i="5" l="1"/>
  <c r="G22" i="4" l="1"/>
  <c r="F22" i="4"/>
  <c r="D22" i="4"/>
  <c r="Q21" i="5"/>
  <c r="Q8" i="5" l="1"/>
  <c r="D19" i="5"/>
  <c r="D17" i="5" l="1"/>
  <c r="G6" i="4"/>
  <c r="F6" i="4"/>
  <c r="G5" i="4"/>
  <c r="F5" i="4"/>
  <c r="Q22" i="5" l="1"/>
  <c r="Q27" i="5" l="1"/>
  <c r="S16" i="5" l="1"/>
  <c r="Q23" i="5"/>
  <c r="F12" i="5"/>
  <c r="F18" i="5" l="1"/>
  <c r="B34" i="4" l="1"/>
  <c r="B33" i="4"/>
  <c r="F28" i="4"/>
  <c r="F27" i="4"/>
  <c r="F26" i="4"/>
  <c r="F25" i="4"/>
  <c r="F24" i="4"/>
  <c r="F23" i="4"/>
  <c r="F21" i="4"/>
  <c r="F20" i="4"/>
  <c r="F19" i="4"/>
  <c r="F18" i="4"/>
  <c r="F17" i="4"/>
  <c r="F16" i="4"/>
  <c r="G29" i="4"/>
  <c r="F29" i="4"/>
  <c r="F15" i="4"/>
  <c r="F14" i="4"/>
  <c r="F13" i="4"/>
  <c r="F12" i="4"/>
  <c r="F11" i="4"/>
  <c r="F10" i="4"/>
  <c r="F9" i="4"/>
  <c r="F8" i="4"/>
  <c r="F7" i="4"/>
  <c r="G28" i="4"/>
  <c r="D28" i="4"/>
  <c r="G27" i="4"/>
  <c r="D27" i="4"/>
  <c r="G26" i="4"/>
  <c r="D26" i="4"/>
  <c r="G25" i="4"/>
  <c r="D25" i="4"/>
  <c r="G24" i="4"/>
  <c r="D24" i="4"/>
  <c r="G23" i="4"/>
  <c r="E23" i="4"/>
  <c r="D23" i="4"/>
  <c r="G21" i="4"/>
  <c r="D21" i="4"/>
  <c r="G20" i="4"/>
  <c r="D20" i="4"/>
  <c r="G19" i="4"/>
  <c r="G18" i="4"/>
  <c r="D18" i="4"/>
  <c r="G17" i="4"/>
  <c r="D17" i="4"/>
  <c r="G16" i="4"/>
  <c r="D16" i="4"/>
  <c r="G15" i="4"/>
  <c r="D15" i="4"/>
  <c r="D14" i="4"/>
  <c r="G13" i="4"/>
  <c r="B35" i="4" l="1"/>
  <c r="F30" i="4"/>
  <c r="D13" i="4"/>
  <c r="G12" i="4"/>
  <c r="D12" i="4"/>
  <c r="D11" i="4"/>
  <c r="D5" i="4"/>
  <c r="G11" i="4"/>
  <c r="G10" i="4"/>
  <c r="B10" i="4"/>
  <c r="G9" i="4"/>
  <c r="B9" i="4"/>
  <c r="G8" i="4"/>
  <c r="D8" i="4"/>
  <c r="B8" i="4"/>
  <c r="G7" i="4"/>
  <c r="D7" i="4"/>
  <c r="B7" i="4"/>
  <c r="D6" i="4"/>
  <c r="B6" i="4"/>
  <c r="B5" i="4"/>
  <c r="S44" i="5"/>
  <c r="Q44" i="5"/>
  <c r="P44" i="5"/>
  <c r="N44" i="5"/>
  <c r="R43" i="5"/>
  <c r="E34" i="5"/>
  <c r="E33" i="5"/>
  <c r="E36" i="5" s="1"/>
  <c r="J25" i="5"/>
  <c r="G25" i="5"/>
  <c r="F23" i="5"/>
  <c r="E23" i="5"/>
  <c r="R46" i="5" s="1"/>
  <c r="D23" i="5"/>
  <c r="B23" i="5"/>
  <c r="H21" i="5"/>
  <c r="F9" i="5"/>
  <c r="C9" i="5"/>
  <c r="C23" i="5" s="1"/>
  <c r="B9" i="5"/>
  <c r="H8" i="5"/>
  <c r="O7" i="5"/>
  <c r="O44" i="5" s="1"/>
  <c r="H7" i="5"/>
  <c r="H25" i="5" s="1"/>
  <c r="D9" i="5"/>
  <c r="C7" i="5"/>
  <c r="B30" i="4" l="1"/>
  <c r="G30" i="4"/>
  <c r="D30" i="4"/>
  <c r="O47" i="5"/>
  <c r="O46" i="5"/>
  <c r="B36" i="4" l="1"/>
  <c r="B37" i="4" s="1"/>
  <c r="E27" i="4"/>
  <c r="I14" i="4"/>
  <c r="E28" i="4"/>
  <c r="H18" i="4"/>
  <c r="K18" i="4"/>
  <c r="I18" i="4" l="1"/>
  <c r="E29" i="4"/>
</calcChain>
</file>

<file path=xl/sharedStrings.xml><?xml version="1.0" encoding="utf-8"?>
<sst xmlns="http://schemas.openxmlformats.org/spreadsheetml/2006/main" count="101" uniqueCount="73">
  <si>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</si>
  <si>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</si>
  <si>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</si>
  <si>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</si>
  <si>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</si>
  <si>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</si>
  <si>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</si>
  <si>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</si>
  <si>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</si>
  <si>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</si>
  <si>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</si>
  <si>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</si>
  <si>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</si>
  <si>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</si>
  <si>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</si>
  <si>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</si>
  <si>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</si>
  <si>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</si>
  <si>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</si>
  <si>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</si>
  <si>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</si>
  <si>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</si>
  <si>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</si>
  <si>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</si>
  <si>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</si>
  <si>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</si>
  <si>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</si>
  <si>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</si>
  <si>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</si>
  <si>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</si>
  <si>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</si>
  <si>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Postage</t>
  </si>
  <si>
    <t>Dividends/Interest</t>
  </si>
  <si>
    <t>Pay Pal Fess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</si>
  <si>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</si>
  <si>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</si>
  <si>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</si>
  <si>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</si>
  <si>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</si>
  <si>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 xml:space="preserve"> Donations</t>
  </si>
  <si>
    <t>Email Distribution</t>
  </si>
  <si>
    <t>Golf Tournament - Fees/Mulligans</t>
  </si>
  <si>
    <t>Website and Online Registration</t>
  </si>
  <si>
    <t>2015 Actual Net Position:</t>
  </si>
  <si>
    <t>Sponsored Training Events</t>
  </si>
  <si>
    <t>Silent Auction</t>
  </si>
  <si>
    <t>Federal Withholding/Service Charges</t>
  </si>
  <si>
    <t>Mini PDI</t>
  </si>
  <si>
    <t>Proposed 15-16</t>
  </si>
  <si>
    <t>Actual 15-16</t>
  </si>
  <si>
    <t>Actual 14-15</t>
  </si>
  <si>
    <t>2016 Budgeted Net Position:</t>
  </si>
  <si>
    <r>
      <t xml:space="preserve">Annual Budget </t>
    </r>
    <r>
      <rPr>
        <sz val="16"/>
        <rFont val="Times New Roman"/>
        <family val="1"/>
      </rPr>
      <t>(1 July 2015 - 30 June 2016)</t>
    </r>
  </si>
  <si>
    <t>Category</t>
  </si>
  <si>
    <t>Revenue - Budget</t>
  </si>
  <si>
    <t>Expense -Budget</t>
  </si>
  <si>
    <t xml:space="preserve">Mini PDI </t>
  </si>
  <si>
    <t>Golf Tournament</t>
  </si>
  <si>
    <t>Awards</t>
  </si>
  <si>
    <t>Scholarship/Continuing Education</t>
  </si>
  <si>
    <t>CDFM-A Certificates</t>
  </si>
  <si>
    <t>Pay Pal Fees</t>
  </si>
  <si>
    <r>
      <t xml:space="preserve">Annual Budget by Category </t>
    </r>
    <r>
      <rPr>
        <sz val="16"/>
        <rFont val="Times New Roman"/>
        <family val="1"/>
      </rPr>
      <t>(1 July 2015 - 30 June 2016)</t>
    </r>
  </si>
  <si>
    <t>Subtotal</t>
  </si>
  <si>
    <t>Net Income (Budget)</t>
  </si>
  <si>
    <t>2016 Budgeted Net Position</t>
  </si>
  <si>
    <t>Mini PDI - Other</t>
  </si>
  <si>
    <t>Golf Tournament - Other</t>
  </si>
  <si>
    <t>Notes/Comments</t>
  </si>
  <si>
    <t>Cloud Hosting - Intuit</t>
  </si>
  <si>
    <t>Cloud Hosting</t>
  </si>
  <si>
    <t>Young Professionals</t>
  </si>
  <si>
    <t>Account Balances as of 
30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</si>
</sst>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/>
    <xf numFmtId="0" fontId="3" fillId="0" borderId="4" xfId="0" applyFont="1" applyBorder="1"/>
    <xf numFmtId="44" fontId="6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3" fillId="0" borderId="1" xfId="0" applyNumberFormat="1" applyFont="1" applyBorder="1"/>
    <xf numFmtId="0" fontId="3" fillId="0" borderId="5" xfId="0" applyFont="1" applyBorder="1"/>
    <xf numFmtId="44" fontId="3" fillId="0" borderId="5" xfId="1" applyFont="1" applyBorder="1"/>
    <xf numFmtId="0" fontId="6" fillId="3" borderId="5" xfId="0" applyFont="1" applyFill="1" applyBorder="1"/>
    <xf numFmtId="44" fontId="6" fillId="3" borderId="5" xfId="0" applyNumberFormat="1" applyFont="1" applyFill="1" applyBorder="1"/>
    <xf numFmtId="44" fontId="3" fillId="0" borderId="5" xfId="0" applyNumberFormat="1" applyFont="1" applyBorder="1"/>
    <xf numFmtId="0" fontId="6" fillId="3" borderId="5" xfId="0" applyFont="1" applyFill="1" applyBorder="1" applyAlignment="1">
      <alignment horizontal="left" wrapText="1"/>
    </xf>
    <xf numFmtId="0" fontId="3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zoomScale="80" zoomScaleNormal="80" workbookViewId="0">
      <selection activeCell="A7" sqref="A7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32.28515625" style="3" bestFit="1" customWidth="1"/>
    <col min="13" max="13" width="12.28515625" style="3" customWidth="1"/>
    <col min="14" max="14" width="11.85546875" style="4" customWidth="1"/>
    <col min="15" max="15" width="15.7109375" style="3" bestFit="1" customWidth="1"/>
    <col min="16" max="16" width="1.85546875" style="3" customWidth="1"/>
    <col min="17" max="17" width="13.42578125" style="3" bestFit="1" customWidth="1"/>
    <col min="18" max="18" width="1.85546875" style="3" customWidth="1"/>
    <col min="19" max="19" width="13.28515625" style="4" bestFit="1" customWidth="1"/>
    <col min="20" max="20" width="1.85546875" style="4" hidden="1" customWidth="1"/>
    <col min="21" max="21" width="13" style="4" hidden="1" customWidth="1"/>
    <col min="22" max="22" width="1.85546875" style="4" hidden="1" customWidth="1"/>
    <col min="23" max="23" width="12.28515625" style="3" bestFit="1" customWidth="1"/>
    <col min="24" max="16384" width="9.140625" style="3"/>
  </cols>
  <sheetData>
    <row r="1" spans="1:22" ht="27" customHeight="1" x14ac:dyDescent="0.4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2" ht="33" customHeight="1" x14ac:dyDescent="0.4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2" ht="3.75" customHeight="1" x14ac:dyDescent="0.2">
      <c r="A3" s="24"/>
      <c r="B3" s="24"/>
      <c r="C3" s="24"/>
      <c r="D3" s="24"/>
      <c r="E3" s="24"/>
      <c r="F3" s="25"/>
      <c r="G3" s="25"/>
      <c r="H3" s="25"/>
      <c r="I3" s="25"/>
      <c r="J3" s="25"/>
      <c r="K3" s="24"/>
      <c r="L3" s="24"/>
      <c r="M3" s="24"/>
      <c r="N3" s="25"/>
      <c r="O3" s="24"/>
      <c r="P3" s="24"/>
      <c r="Q3" s="24"/>
      <c r="R3" s="24"/>
      <c r="S3" s="25"/>
    </row>
    <row r="4" spans="1:22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5" t="s">
        <v>18</v>
      </c>
      <c r="M4" s="16"/>
      <c r="N4" s="30"/>
      <c r="O4" s="17"/>
      <c r="S4" s="2" t="s">
        <v>1</v>
      </c>
      <c r="T4" s="2"/>
      <c r="U4" s="2"/>
      <c r="V4" s="2"/>
    </row>
    <row r="5" spans="1:22" x14ac:dyDescent="0.2">
      <c r="L5" s="14"/>
      <c r="M5" s="8"/>
      <c r="N5" s="19"/>
      <c r="O5" s="12"/>
    </row>
    <row r="6" spans="1:22" ht="41.25" customHeight="1" x14ac:dyDescent="0.2">
      <c r="A6" s="34" t="s">
        <v>72</v>
      </c>
      <c r="B6" s="21" t="s">
        <v>48</v>
      </c>
      <c r="C6" s="21"/>
      <c r="D6" s="33" t="s">
        <v>49</v>
      </c>
      <c r="E6" s="21"/>
      <c r="F6" s="21" t="s">
        <v>50</v>
      </c>
      <c r="H6" s="10" t="s">
        <v>20</v>
      </c>
      <c r="J6" s="4" t="s">
        <v>17</v>
      </c>
      <c r="L6" s="18"/>
      <c r="M6" s="8"/>
      <c r="N6" s="27"/>
      <c r="O6" s="21" t="s">
        <v>48</v>
      </c>
      <c r="P6" s="21"/>
      <c r="Q6" s="33" t="s">
        <v>49</v>
      </c>
      <c r="R6" s="21"/>
      <c r="S6" s="21" t="s">
        <v>50</v>
      </c>
      <c r="U6" s="4" t="s">
        <v>20</v>
      </c>
    </row>
    <row r="7" spans="1:22" x14ac:dyDescent="0.2">
      <c r="A7" s="3" t="s">
        <v>23</v>
      </c>
      <c r="B7" s="9">
        <f>216795.77+119906.78</f>
        <v>336702.55</v>
      </c>
      <c r="C7" s="9">
        <f>216795.77+119906.78</f>
        <v>336702.55</v>
      </c>
      <c r="D7" s="9">
        <f>216795.77+119906.78</f>
        <v>336702.55</v>
      </c>
      <c r="E7" s="9"/>
      <c r="F7" s="9"/>
      <c r="H7" s="4">
        <f>41842.81+176790.38</f>
        <v>218633.19</v>
      </c>
      <c r="J7" s="4">
        <v>114481.98</v>
      </c>
      <c r="L7" s="20" t="s">
        <v>10</v>
      </c>
      <c r="M7" s="29"/>
      <c r="N7" s="19"/>
      <c r="O7" s="13">
        <f>2500*12</f>
        <v>30000</v>
      </c>
      <c r="P7" s="7" t="s">
        <v>24</v>
      </c>
      <c r="Q7" s="9">
        <f>1696+2620.67+3683.97+1410.38+743.95+1227.6+2493.67+657.2+3595.61+3369.25+2332.8</f>
        <v>23831.100000000002</v>
      </c>
      <c r="R7" s="7"/>
      <c r="S7" s="13">
        <v>26209.279999999999</v>
      </c>
      <c r="U7" s="4">
        <v>9489</v>
      </c>
    </row>
    <row r="8" spans="1:22" x14ac:dyDescent="0.2">
      <c r="A8" s="3" t="s">
        <v>3</v>
      </c>
      <c r="B8" s="21">
        <v>69</v>
      </c>
      <c r="C8" s="32"/>
      <c r="D8" s="21">
        <v>69</v>
      </c>
      <c r="E8" s="9"/>
      <c r="F8" s="21"/>
      <c r="H8" s="4">
        <f>4066.22+36441.29+19.08</f>
        <v>40526.590000000004</v>
      </c>
      <c r="J8" s="4">
        <v>53771.27</v>
      </c>
      <c r="L8" s="20" t="s">
        <v>11</v>
      </c>
      <c r="M8" s="29"/>
      <c r="N8" s="19"/>
      <c r="O8" s="13">
        <v>22000</v>
      </c>
      <c r="P8" s="7"/>
      <c r="Q8" s="9">
        <f>13638.17</f>
        <v>13638.17</v>
      </c>
      <c r="R8" s="7"/>
      <c r="S8" s="13">
        <v>18534.48</v>
      </c>
      <c r="U8" s="4">
        <v>7200.69</v>
      </c>
    </row>
    <row r="9" spans="1:22" x14ac:dyDescent="0.2">
      <c r="A9" s="3" t="s">
        <v>22</v>
      </c>
      <c r="B9" s="9">
        <f>SUM(B7:B8)</f>
        <v>336771.55</v>
      </c>
      <c r="C9" s="9">
        <f>SUM(C7:C8)</f>
        <v>336702.55</v>
      </c>
      <c r="D9" s="9">
        <f>SUM(D7:D8)</f>
        <v>336771.55</v>
      </c>
      <c r="E9" s="9"/>
      <c r="F9" s="9">
        <f>SUM(F7:F8)</f>
        <v>0</v>
      </c>
      <c r="H9" s="4">
        <v>100</v>
      </c>
      <c r="J9" s="4">
        <v>100</v>
      </c>
      <c r="L9" s="20"/>
      <c r="M9" s="29"/>
      <c r="N9" s="19"/>
      <c r="O9" s="13"/>
      <c r="P9" s="7"/>
      <c r="Q9" s="9"/>
      <c r="R9" s="7"/>
      <c r="S9" s="13"/>
    </row>
    <row r="10" spans="1:22" x14ac:dyDescent="0.2">
      <c r="B10" s="9"/>
      <c r="C10" s="7"/>
      <c r="D10" s="9"/>
      <c r="E10" s="9"/>
      <c r="F10" s="9"/>
      <c r="L10" s="23" t="s">
        <v>39</v>
      </c>
      <c r="M10" s="29"/>
      <c r="N10" s="19"/>
      <c r="O10" s="13">
        <v>5000</v>
      </c>
      <c r="P10" s="7"/>
      <c r="Q10" s="9"/>
      <c r="R10" s="7"/>
      <c r="S10" s="13"/>
    </row>
    <row r="11" spans="1:22" x14ac:dyDescent="0.2">
      <c r="A11" s="5" t="s">
        <v>4</v>
      </c>
      <c r="B11" s="13"/>
      <c r="C11" s="7"/>
      <c r="D11" s="9"/>
      <c r="E11" s="9"/>
      <c r="F11" s="9"/>
      <c r="K11" s="36"/>
      <c r="L11" s="8" t="s">
        <v>45</v>
      </c>
      <c r="M11" s="29"/>
      <c r="N11" s="19"/>
      <c r="O11" s="13"/>
      <c r="P11" s="7"/>
      <c r="Q11" s="9">
        <v>515.96</v>
      </c>
      <c r="R11" s="7"/>
      <c r="S11" s="13">
        <v>3472.33</v>
      </c>
    </row>
    <row r="12" spans="1:22" x14ac:dyDescent="0.2">
      <c r="A12" s="3" t="s">
        <v>37</v>
      </c>
      <c r="B12" s="13">
        <v>50000</v>
      </c>
      <c r="C12" s="7"/>
      <c r="D12" s="9">
        <f>21938.61+18550.1+21440.83+12121.63+398</f>
        <v>74449.17</v>
      </c>
      <c r="E12" s="9"/>
      <c r="F12" s="9">
        <f>69529.08+194.32+946</f>
        <v>70669.400000000009</v>
      </c>
      <c r="K12" s="36"/>
      <c r="L12" s="3" t="s">
        <v>47</v>
      </c>
      <c r="O12" s="13"/>
      <c r="R12" s="7"/>
      <c r="S12" s="13">
        <v>10000</v>
      </c>
    </row>
    <row r="13" spans="1:22" x14ac:dyDescent="0.2">
      <c r="A13" s="3" t="s">
        <v>38</v>
      </c>
      <c r="B13" s="13">
        <v>50000</v>
      </c>
      <c r="C13" s="7"/>
      <c r="D13" s="9">
        <f>2250+691.78+14476.5+23279.52+9967.76+30520.62+16146+700-1403.7+353.7+2050+700+14359</f>
        <v>114091.18000000001</v>
      </c>
      <c r="E13" s="9"/>
      <c r="F13" s="9">
        <f>84760.77+244.13+11225.5+8100+5350+2000</f>
        <v>111680.40000000001</v>
      </c>
      <c r="K13" s="36"/>
    </row>
    <row r="14" spans="1:22" x14ac:dyDescent="0.2">
      <c r="A14" s="3" t="s">
        <v>66</v>
      </c>
      <c r="B14" s="13">
        <v>0</v>
      </c>
      <c r="D14" s="9">
        <f>8674.39-354</f>
        <v>8320.39</v>
      </c>
      <c r="E14" s="9"/>
      <c r="F14" s="9">
        <v>2400</v>
      </c>
      <c r="K14" s="36"/>
      <c r="M14" s="29"/>
      <c r="N14" s="19"/>
      <c r="O14" s="13"/>
      <c r="P14" s="7"/>
      <c r="Q14" s="9"/>
      <c r="R14" s="7"/>
      <c r="S14" s="13"/>
    </row>
    <row r="15" spans="1:22" x14ac:dyDescent="0.2">
      <c r="A15" s="3" t="s">
        <v>41</v>
      </c>
      <c r="B15" s="13">
        <v>7000</v>
      </c>
      <c r="C15" s="7"/>
      <c r="D15" s="9">
        <f>650.82+5157+27.57+2139+700</f>
        <v>8674.39</v>
      </c>
      <c r="E15" s="9"/>
      <c r="F15" s="9">
        <v>7431.92</v>
      </c>
      <c r="K15" s="36"/>
      <c r="L15" s="35" t="s">
        <v>7</v>
      </c>
      <c r="M15" s="29"/>
      <c r="N15" s="19"/>
      <c r="O15" s="13"/>
      <c r="P15" s="7"/>
      <c r="Q15" s="9"/>
      <c r="R15" s="7"/>
      <c r="S15" s="13"/>
      <c r="U15" s="4">
        <v>68243.11</v>
      </c>
    </row>
    <row r="16" spans="1:22" x14ac:dyDescent="0.2">
      <c r="A16" s="3" t="s">
        <v>34</v>
      </c>
      <c r="B16" s="13">
        <v>9000</v>
      </c>
      <c r="C16" s="7"/>
      <c r="D16" s="9">
        <v>5157.3100000000004</v>
      </c>
      <c r="E16" s="9"/>
      <c r="F16" s="9">
        <v>11600.62</v>
      </c>
      <c r="H16" s="4">
        <v>130699.83</v>
      </c>
      <c r="J16" s="4">
        <v>130000</v>
      </c>
      <c r="K16" s="36"/>
      <c r="L16" s="8" t="s">
        <v>12</v>
      </c>
      <c r="M16" s="29"/>
      <c r="N16" s="19"/>
      <c r="O16" s="13">
        <v>175000</v>
      </c>
      <c r="P16" s="7"/>
      <c r="Q16" s="9">
        <f>44700+3521.79-1578.55+780-780+9760.25-1554.59+134839.05</f>
        <v>189687.94999999998</v>
      </c>
      <c r="R16" s="7"/>
      <c r="S16" s="13">
        <f>173063.79+1053.13+536.23</f>
        <v>174653.15000000002</v>
      </c>
    </row>
    <row r="17" spans="1:23" ht="14.25" customHeight="1" x14ac:dyDescent="0.2">
      <c r="A17" s="3" t="s">
        <v>67</v>
      </c>
      <c r="B17" s="13">
        <v>0</v>
      </c>
      <c r="C17" s="7"/>
      <c r="D17" s="9">
        <f>60+1350</f>
        <v>1410</v>
      </c>
      <c r="E17" s="9"/>
      <c r="F17" s="9">
        <v>0</v>
      </c>
      <c r="H17" s="4">
        <v>7465.5</v>
      </c>
      <c r="J17" s="4">
        <v>19000</v>
      </c>
      <c r="K17" s="36"/>
      <c r="L17" s="8"/>
      <c r="M17" s="29"/>
      <c r="N17" s="19"/>
      <c r="O17" s="13"/>
      <c r="P17" s="7"/>
      <c r="Q17" s="9"/>
      <c r="R17" s="7"/>
      <c r="S17" s="13"/>
      <c r="U17" s="4">
        <v>658.5</v>
      </c>
    </row>
    <row r="18" spans="1:23" x14ac:dyDescent="0.2">
      <c r="A18" s="3" t="s">
        <v>36</v>
      </c>
      <c r="B18" s="13">
        <v>10000</v>
      </c>
      <c r="C18" s="7"/>
      <c r="D18" s="9">
        <v>13423</v>
      </c>
      <c r="E18" s="9"/>
      <c r="F18" s="9">
        <f>6671+10330</f>
        <v>17001</v>
      </c>
      <c r="H18" s="4">
        <v>36496</v>
      </c>
      <c r="J18" s="4">
        <v>15000</v>
      </c>
      <c r="K18" s="36"/>
      <c r="N18" s="3"/>
      <c r="O18" s="13"/>
      <c r="R18" s="7"/>
      <c r="S18" s="13"/>
    </row>
    <row r="19" spans="1:23" x14ac:dyDescent="0.2">
      <c r="A19" s="3" t="s">
        <v>5</v>
      </c>
      <c r="B19" s="13">
        <v>4000</v>
      </c>
      <c r="C19" s="7"/>
      <c r="D19" s="9">
        <f>299.06+914.36+1842.81+1840</f>
        <v>4896.2299999999996</v>
      </c>
      <c r="E19" s="9"/>
      <c r="F19" s="9">
        <v>4791.32</v>
      </c>
      <c r="H19" s="4">
        <v>1189.5</v>
      </c>
      <c r="J19" s="4">
        <v>1500</v>
      </c>
      <c r="K19" s="36"/>
      <c r="L19" s="8"/>
      <c r="M19" s="29"/>
      <c r="N19" s="19"/>
      <c r="O19" s="13"/>
      <c r="P19" s="7"/>
      <c r="Q19" s="9"/>
      <c r="R19" s="7"/>
      <c r="S19" s="13"/>
    </row>
    <row r="20" spans="1:23" x14ac:dyDescent="0.2">
      <c r="A20" s="3" t="s">
        <v>32</v>
      </c>
      <c r="B20" s="13">
        <v>60</v>
      </c>
      <c r="C20" s="7"/>
      <c r="D20" s="9">
        <f>59.79+5.33</f>
        <v>65.12</v>
      </c>
      <c r="E20" s="9">
        <v>78.12</v>
      </c>
      <c r="F20" s="9">
        <v>78.12</v>
      </c>
      <c r="H20" s="4">
        <v>1200</v>
      </c>
      <c r="J20" s="4">
        <v>700</v>
      </c>
      <c r="K20" s="36"/>
      <c r="L20" s="35" t="s">
        <v>8</v>
      </c>
      <c r="M20" s="29"/>
      <c r="N20" s="19"/>
      <c r="O20" s="13"/>
      <c r="P20" s="7"/>
      <c r="Q20" s="9"/>
      <c r="R20" s="7"/>
      <c r="S20" s="13"/>
    </row>
    <row r="21" spans="1:23" x14ac:dyDescent="0.2">
      <c r="A21" s="3" t="s">
        <v>6</v>
      </c>
      <c r="B21" s="13">
        <v>7500</v>
      </c>
      <c r="C21" s="7"/>
      <c r="D21" s="9">
        <v>9887.5499999999993</v>
      </c>
      <c r="E21" s="9"/>
      <c r="F21" s="9">
        <v>12204.24</v>
      </c>
      <c r="H21" s="4">
        <f>1790.38+808.59</f>
        <v>2598.9700000000003</v>
      </c>
      <c r="J21" s="4">
        <v>160</v>
      </c>
      <c r="K21" s="36"/>
      <c r="L21" s="8" t="s">
        <v>13</v>
      </c>
      <c r="M21" s="29"/>
      <c r="N21" s="19"/>
      <c r="O21" s="13">
        <v>1000</v>
      </c>
      <c r="P21" s="7"/>
      <c r="Q21" s="9">
        <f>668.44</f>
        <v>668.44</v>
      </c>
      <c r="R21" s="8"/>
      <c r="S21" s="13">
        <v>151.72999999999999</v>
      </c>
      <c r="U21" s="4">
        <v>799.72</v>
      </c>
    </row>
    <row r="22" spans="1:23" ht="13.5" thickBot="1" x14ac:dyDescent="0.25">
      <c r="A22" s="3" t="s">
        <v>19</v>
      </c>
      <c r="B22" s="26"/>
      <c r="C22" s="6"/>
      <c r="D22" s="6">
        <f>71.96-71.96</f>
        <v>0</v>
      </c>
      <c r="E22" s="6"/>
      <c r="F22" s="6">
        <v>0</v>
      </c>
      <c r="G22" s="6"/>
      <c r="H22" s="6">
        <v>8758</v>
      </c>
      <c r="I22" s="6"/>
      <c r="J22" s="6">
        <v>10000</v>
      </c>
      <c r="K22" s="36"/>
      <c r="L22" s="8" t="s">
        <v>14</v>
      </c>
      <c r="M22" s="29"/>
      <c r="N22" s="19"/>
      <c r="O22" s="13">
        <v>35000</v>
      </c>
      <c r="P22" s="8"/>
      <c r="Q22" s="13">
        <f>28000+1000+1000</f>
        <v>30000</v>
      </c>
      <c r="R22" s="8"/>
      <c r="S22" s="13">
        <v>22000</v>
      </c>
      <c r="U22" s="4">
        <v>6108.75</v>
      </c>
    </row>
    <row r="23" spans="1:23" x14ac:dyDescent="0.2">
      <c r="A23" s="3" t="s">
        <v>25</v>
      </c>
      <c r="B23" s="4">
        <f>SUM(B12:B22)</f>
        <v>137560</v>
      </c>
      <c r="C23" s="4">
        <f>C9+SUM(C12:C22)</f>
        <v>336702.55</v>
      </c>
      <c r="D23" s="4">
        <f>SUM(D12:D22)</f>
        <v>240374.34</v>
      </c>
      <c r="E23" s="4">
        <f>SUM(E7:E21)</f>
        <v>78.12</v>
      </c>
      <c r="F23" s="4">
        <f>SUM(F12:F22)</f>
        <v>237857.02000000002</v>
      </c>
      <c r="G23" s="9"/>
      <c r="H23" s="9"/>
      <c r="I23" s="9"/>
      <c r="J23" s="9"/>
      <c r="K23" s="36"/>
      <c r="L23" s="8" t="s">
        <v>15</v>
      </c>
      <c r="M23" s="28"/>
      <c r="N23" s="19"/>
      <c r="O23" s="13">
        <v>15000</v>
      </c>
      <c r="P23" s="8"/>
      <c r="Q23" s="9">
        <f>14518+882.36</f>
        <v>15400.36</v>
      </c>
      <c r="R23" s="8"/>
      <c r="S23" s="13">
        <v>16282.32</v>
      </c>
    </row>
    <row r="24" spans="1:23" x14ac:dyDescent="0.2">
      <c r="K24" s="36"/>
      <c r="L24" s="8" t="s">
        <v>16</v>
      </c>
      <c r="M24" s="29"/>
      <c r="N24" s="19"/>
      <c r="O24" s="13">
        <v>700</v>
      </c>
      <c r="P24" s="8"/>
      <c r="R24" s="8"/>
      <c r="S24" s="22">
        <v>0</v>
      </c>
    </row>
    <row r="25" spans="1:23" x14ac:dyDescent="0.2">
      <c r="B25" s="12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  <c r="K25" s="36"/>
      <c r="L25" s="8" t="s">
        <v>35</v>
      </c>
      <c r="M25" s="29"/>
      <c r="N25" s="19"/>
      <c r="O25" s="13">
        <v>5000</v>
      </c>
      <c r="P25" s="8"/>
      <c r="Q25" s="9"/>
      <c r="R25" s="8"/>
      <c r="S25" s="13">
        <v>2412.14</v>
      </c>
    </row>
    <row r="26" spans="1:23" x14ac:dyDescent="0.2">
      <c r="D26" s="22"/>
      <c r="K26" s="36"/>
      <c r="L26" s="8" t="s">
        <v>71</v>
      </c>
      <c r="M26" s="29"/>
      <c r="N26" s="19"/>
      <c r="O26" s="13">
        <v>2000</v>
      </c>
      <c r="P26" s="8"/>
      <c r="Q26" s="9">
        <f>290+467+347.54</f>
        <v>1104.54</v>
      </c>
      <c r="R26" s="8"/>
      <c r="S26" s="4">
        <v>303</v>
      </c>
    </row>
    <row r="27" spans="1:23" x14ac:dyDescent="0.2">
      <c r="K27" s="36"/>
      <c r="L27" s="8" t="s">
        <v>44</v>
      </c>
      <c r="O27" s="13">
        <v>20000</v>
      </c>
      <c r="P27" s="8"/>
      <c r="Q27" s="9">
        <f>9800</f>
        <v>9800</v>
      </c>
      <c r="R27" s="8"/>
      <c r="S27" s="4">
        <v>9800</v>
      </c>
      <c r="W27" s="22"/>
    </row>
    <row r="28" spans="1:23" x14ac:dyDescent="0.2">
      <c r="D28" s="22"/>
      <c r="K28" s="36"/>
      <c r="P28" s="8"/>
      <c r="R28" s="8"/>
      <c r="S28" s="13"/>
    </row>
    <row r="29" spans="1:23" x14ac:dyDescent="0.2">
      <c r="D29" s="22"/>
      <c r="K29" s="36"/>
      <c r="M29" s="29"/>
      <c r="N29" s="19"/>
      <c r="O29" s="13"/>
      <c r="P29" s="8"/>
      <c r="Q29" s="9"/>
      <c r="R29" s="7"/>
      <c r="S29" s="13"/>
    </row>
    <row r="30" spans="1:23" x14ac:dyDescent="0.2">
      <c r="D30" s="22"/>
      <c r="K30" s="36"/>
      <c r="L30" s="35" t="s">
        <v>9</v>
      </c>
      <c r="M30" s="29"/>
      <c r="N30" s="19"/>
      <c r="O30" s="13"/>
      <c r="P30" s="7"/>
      <c r="Q30" s="9"/>
      <c r="R30" s="7"/>
      <c r="S30" s="13"/>
    </row>
    <row r="31" spans="1:23" x14ac:dyDescent="0.2">
      <c r="K31" s="36"/>
      <c r="L31" s="8" t="s">
        <v>26</v>
      </c>
      <c r="M31" s="29"/>
      <c r="N31" s="19"/>
      <c r="O31" s="13">
        <v>4000</v>
      </c>
      <c r="P31" s="7"/>
      <c r="Q31" s="9">
        <v>3700</v>
      </c>
      <c r="R31" s="7"/>
      <c r="S31" s="13">
        <v>3700</v>
      </c>
    </row>
    <row r="32" spans="1:23" x14ac:dyDescent="0.2">
      <c r="K32" s="36"/>
      <c r="L32" s="8" t="s">
        <v>46</v>
      </c>
      <c r="M32" s="29"/>
      <c r="N32" s="19"/>
      <c r="O32" s="13">
        <v>0</v>
      </c>
      <c r="P32" s="7"/>
      <c r="Q32" s="9">
        <f>2.16-2.16</f>
        <v>0</v>
      </c>
      <c r="R32" s="7"/>
      <c r="S32" s="13">
        <v>21.1</v>
      </c>
    </row>
    <row r="33" spans="2:24" x14ac:dyDescent="0.2">
      <c r="D33" s="22"/>
      <c r="E33" s="9">
        <f xml:space="preserve"> SUM(G7:G24)</f>
        <v>0</v>
      </c>
      <c r="F33" s="9"/>
      <c r="K33" s="36"/>
      <c r="L33" s="8" t="s">
        <v>42</v>
      </c>
      <c r="M33" s="29"/>
      <c r="N33" s="19"/>
      <c r="O33" s="13">
        <v>2000</v>
      </c>
      <c r="P33" s="7"/>
      <c r="Q33" s="9">
        <f>69.92+39.95+39.95+39.95+39.95+29.97+39.95+29.97+39.95+39.95+39.95+69.92+39.95+39.95+12.99</f>
        <v>612.27</v>
      </c>
      <c r="R33" s="7"/>
      <c r="S33" s="13">
        <v>1780.97</v>
      </c>
      <c r="U33" s="4">
        <v>1959</v>
      </c>
    </row>
    <row r="34" spans="2:24" x14ac:dyDescent="0.2">
      <c r="D34" s="4"/>
      <c r="E34" s="9">
        <f>SUM(K7:K9)</f>
        <v>0</v>
      </c>
      <c r="F34" s="9"/>
      <c r="K34" s="36"/>
      <c r="L34" s="8" t="s">
        <v>40</v>
      </c>
      <c r="M34" s="29"/>
      <c r="N34" s="19"/>
      <c r="O34" s="13">
        <v>600</v>
      </c>
      <c r="P34" s="7"/>
      <c r="Q34" s="9">
        <f>44*4+55+55+55+55+18.1+55+55+55+55</f>
        <v>634.1</v>
      </c>
      <c r="S34" s="4">
        <v>349.16</v>
      </c>
    </row>
    <row r="35" spans="2:24" x14ac:dyDescent="0.2">
      <c r="D35" s="4"/>
      <c r="E35" s="9"/>
      <c r="F35" s="9"/>
      <c r="K35" s="36"/>
      <c r="L35" s="8" t="s">
        <v>69</v>
      </c>
      <c r="M35" s="29"/>
      <c r="N35" s="19"/>
      <c r="O35" s="13">
        <v>0</v>
      </c>
      <c r="P35" s="7"/>
      <c r="Q35" s="9">
        <f>998.9+54.99+54.99+54.99</f>
        <v>1163.8699999999999</v>
      </c>
      <c r="S35" s="4">
        <v>0</v>
      </c>
    </row>
    <row r="36" spans="2:24" x14ac:dyDescent="0.2">
      <c r="D36" s="4"/>
      <c r="E36" s="9">
        <f>E33-E34</f>
        <v>0</v>
      </c>
      <c r="F36" s="9"/>
      <c r="K36" s="36"/>
      <c r="L36" s="3" t="s">
        <v>33</v>
      </c>
      <c r="O36" s="13">
        <v>720</v>
      </c>
      <c r="Q36" s="9">
        <f>59.95+59.95*2+59.95+59.95+59.95+59.95+59.95+59.95+59.95+59.95+59.95</f>
        <v>719.40000000000009</v>
      </c>
      <c r="R36" s="7"/>
      <c r="S36" s="13">
        <v>659.45</v>
      </c>
      <c r="U36" s="4">
        <v>448.12</v>
      </c>
      <c r="X36" s="22"/>
    </row>
    <row r="37" spans="2:24" x14ac:dyDescent="0.2">
      <c r="K37" s="36"/>
      <c r="L37" s="8" t="s">
        <v>27</v>
      </c>
      <c r="M37" s="29"/>
      <c r="N37" s="19"/>
      <c r="O37" s="13">
        <v>4000</v>
      </c>
      <c r="P37" s="7"/>
      <c r="Q37" s="9">
        <f>284.17+212.66+122.96+49.56+72.08+282.7+1578.55+1078.94+642.68+771.47+75.2+360.83</f>
        <v>5531.8</v>
      </c>
      <c r="R37" s="7"/>
      <c r="S37" s="13">
        <v>3709.23</v>
      </c>
    </row>
    <row r="38" spans="2:24" x14ac:dyDescent="0.2">
      <c r="B38" s="4"/>
      <c r="K38" s="36"/>
      <c r="L38" s="8" t="s">
        <v>28</v>
      </c>
      <c r="M38" s="29"/>
      <c r="N38" s="19"/>
      <c r="O38" s="13">
        <v>0</v>
      </c>
      <c r="P38" s="7"/>
      <c r="Q38" s="9"/>
      <c r="R38" s="7"/>
      <c r="S38" s="13">
        <v>1361.95</v>
      </c>
    </row>
    <row r="39" spans="2:24" x14ac:dyDescent="0.2">
      <c r="K39" s="36"/>
      <c r="L39" s="8" t="s">
        <v>29</v>
      </c>
      <c r="M39" s="29"/>
      <c r="N39" s="19"/>
      <c r="O39" s="13">
        <v>200</v>
      </c>
      <c r="P39" s="7"/>
      <c r="Q39" s="9">
        <v>196</v>
      </c>
      <c r="R39" s="7"/>
      <c r="S39" s="13">
        <v>192</v>
      </c>
      <c r="U39" s="4">
        <v>128</v>
      </c>
    </row>
    <row r="40" spans="2:24" ht="13.5" thickBot="1" x14ac:dyDescent="0.25">
      <c r="K40" s="36"/>
      <c r="L40" s="8" t="s">
        <v>30</v>
      </c>
      <c r="M40" s="29"/>
      <c r="N40" s="19"/>
      <c r="O40" s="13">
        <v>250</v>
      </c>
      <c r="P40" s="7"/>
      <c r="Q40" s="9">
        <f>92.71+28.08</f>
        <v>120.78999999999999</v>
      </c>
      <c r="R40" s="7"/>
      <c r="S40" s="13">
        <v>3.38</v>
      </c>
      <c r="T40" s="6"/>
      <c r="U40" s="4">
        <v>201.44</v>
      </c>
      <c r="V40" s="6"/>
    </row>
    <row r="41" spans="2:24" x14ac:dyDescent="0.2">
      <c r="K41" s="36"/>
      <c r="L41" s="8" t="s">
        <v>31</v>
      </c>
      <c r="M41" s="29"/>
      <c r="N41" s="19"/>
      <c r="O41" s="13">
        <v>75</v>
      </c>
      <c r="P41" s="7"/>
      <c r="Q41" s="9"/>
      <c r="S41" s="13">
        <v>9.8000000000000007</v>
      </c>
    </row>
    <row r="42" spans="2:24" ht="13.5" thickBot="1" x14ac:dyDescent="0.25">
      <c r="F42" s="3"/>
      <c r="G42" s="3"/>
      <c r="H42" s="3"/>
      <c r="I42" s="3"/>
      <c r="K42" s="36"/>
      <c r="L42" s="8" t="s">
        <v>21</v>
      </c>
      <c r="M42" s="29"/>
      <c r="N42" s="19"/>
      <c r="O42" s="26">
        <v>0</v>
      </c>
      <c r="P42" s="11"/>
      <c r="Q42" s="6"/>
      <c r="R42" s="6"/>
      <c r="S42" s="6"/>
    </row>
    <row r="43" spans="2:24" x14ac:dyDescent="0.2">
      <c r="K43" s="36"/>
      <c r="L43" s="7"/>
      <c r="O43" s="4"/>
      <c r="R43" s="4">
        <f>SUM(R7:R41)</f>
        <v>0</v>
      </c>
      <c r="S43" s="3"/>
    </row>
    <row r="44" spans="2:24" x14ac:dyDescent="0.2">
      <c r="K44" s="36"/>
      <c r="L44" s="7"/>
      <c r="M44" s="29"/>
      <c r="N44" s="4">
        <f>SUM(N7:N43)</f>
        <v>0</v>
      </c>
      <c r="O44" s="4">
        <f>SUM(O7:O43)</f>
        <v>322545</v>
      </c>
      <c r="P44" s="4">
        <f>SUM(P7:P43)</f>
        <v>0</v>
      </c>
      <c r="Q44" s="4">
        <f>SUM(Q7:Q43)</f>
        <v>297324.74999999994</v>
      </c>
      <c r="R44" s="4"/>
      <c r="S44" s="4">
        <f>SUM(S7:S43)</f>
        <v>295605.46999999997</v>
      </c>
    </row>
    <row r="45" spans="2:24" x14ac:dyDescent="0.2">
      <c r="K45" s="36"/>
      <c r="L45" s="7"/>
      <c r="M45" s="7"/>
      <c r="O45" s="4"/>
      <c r="P45" s="4"/>
      <c r="Q45" s="4"/>
      <c r="S45" s="3"/>
    </row>
    <row r="46" spans="2:24" x14ac:dyDescent="0.2">
      <c r="K46" s="36"/>
      <c r="L46" s="7"/>
      <c r="M46" s="7"/>
      <c r="N46" s="31" t="s">
        <v>51</v>
      </c>
      <c r="O46" s="4">
        <f>B9+B23-O44</f>
        <v>151786.54999999999</v>
      </c>
      <c r="R46" s="4">
        <f>E23-R43</f>
        <v>78.12</v>
      </c>
      <c r="S46" s="3"/>
    </row>
    <row r="47" spans="2:24" x14ac:dyDescent="0.2">
      <c r="K47" s="36"/>
      <c r="L47" s="7"/>
      <c r="M47" s="7"/>
      <c r="N47" s="31" t="s">
        <v>43</v>
      </c>
      <c r="O47" s="4">
        <f>D9+D23-Q44</f>
        <v>279821.14000000007</v>
      </c>
    </row>
    <row r="49" spans="1:19" x14ac:dyDescent="0.2">
      <c r="A49" s="48" t="s">
        <v>68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x14ac:dyDescent="0.2">
      <c r="L50" s="7"/>
    </row>
    <row r="51" spans="1:19" x14ac:dyDescent="0.2">
      <c r="L51" s="7"/>
    </row>
    <row r="53" spans="1:19" x14ac:dyDescent="0.2">
      <c r="L53" s="7"/>
    </row>
  </sheetData>
  <mergeCells count="2">
    <mergeCell ref="A1:S1"/>
    <mergeCell ref="A2:S2"/>
  </mergeCells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3" zoomScale="80" zoomScaleNormal="80" workbookViewId="0">
      <selection activeCell="A17" sqref="A17"/>
    </sheetView>
  </sheetViews>
  <sheetFormatPr defaultRowHeight="12.75" x14ac:dyDescent="0.2"/>
  <cols>
    <col min="1" max="1" width="37.42578125" style="3" bestFit="1" customWidth="1"/>
    <col min="2" max="2" width="19.42578125" style="3" bestFit="1" customWidth="1"/>
    <col min="3" max="3" width="1.5703125" style="3" customWidth="1"/>
    <col min="4" max="4" width="18.140625" style="3" bestFit="1" customWidth="1"/>
    <col min="5" max="5" width="1.28515625" style="3" customWidth="1"/>
    <col min="6" max="6" width="16.140625" style="3" customWidth="1"/>
    <col min="7" max="7" width="14.42578125" style="4" bestFit="1" customWidth="1"/>
    <col min="8" max="8" width="2" style="4" hidden="1" customWidth="1"/>
    <col min="9" max="9" width="13" style="4" hidden="1" customWidth="1"/>
    <col min="10" max="10" width="1.85546875" style="4" hidden="1" customWidth="1"/>
    <col min="11" max="11" width="12.140625" style="4" hidden="1" customWidth="1"/>
    <col min="12" max="12" width="2.42578125" style="3" customWidth="1"/>
    <col min="13" max="16384" width="9.140625" style="3"/>
  </cols>
  <sheetData>
    <row r="1" spans="1:13" ht="27" customHeight="1" x14ac:dyDescent="0.4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33" customHeight="1" x14ac:dyDescent="0.4">
      <c r="A2" s="49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3.75" customHeight="1" x14ac:dyDescent="0.2">
      <c r="A3" s="24"/>
      <c r="B3" s="24"/>
      <c r="C3" s="24"/>
      <c r="D3" s="24"/>
      <c r="E3" s="24"/>
      <c r="F3" s="24"/>
      <c r="G3" s="25"/>
      <c r="H3" s="25"/>
      <c r="I3" s="25"/>
      <c r="J3" s="25"/>
      <c r="K3" s="25"/>
      <c r="L3" s="24"/>
    </row>
    <row r="4" spans="1:13" x14ac:dyDescent="0.2">
      <c r="A4" s="5" t="s">
        <v>53</v>
      </c>
      <c r="B4" s="37" t="s">
        <v>54</v>
      </c>
      <c r="C4" s="38"/>
      <c r="D4" s="39" t="s">
        <v>55</v>
      </c>
      <c r="E4" s="39"/>
      <c r="F4" s="39" t="s">
        <v>49</v>
      </c>
      <c r="G4" s="39" t="s">
        <v>50</v>
      </c>
      <c r="L4" s="7"/>
      <c r="M4" s="7"/>
    </row>
    <row r="5" spans="1:13" x14ac:dyDescent="0.2">
      <c r="A5" s="3" t="s">
        <v>56</v>
      </c>
      <c r="B5" s="13">
        <f>'2015-16 Budget'!B12+'2015-16 Budget'!B13</f>
        <v>100000</v>
      </c>
      <c r="C5" s="7"/>
      <c r="D5" s="9">
        <f>'2015-16 Budget'!O16+'2015-16 Budget'!O12</f>
        <v>175000</v>
      </c>
      <c r="E5" s="9"/>
      <c r="F5" s="9">
        <f>('2015-16 Budget'!D12+'2015-16 Budget'!D13+'2015-16 Budget'!D14)-('2015-16 Budget'!Q12+'2015-16 Budget'!Q16)</f>
        <v>7172.7900000000081</v>
      </c>
      <c r="G5" s="9">
        <f>('2015-16 Budget'!F12+'2015-16 Budget'!F13+'2015-16 Budget'!F14)-('2015-16 Budget'!S16+'2015-16 Budget'!S12)</f>
        <v>96.649999999994179</v>
      </c>
      <c r="L5" s="7"/>
      <c r="M5" s="7"/>
    </row>
    <row r="6" spans="1:13" x14ac:dyDescent="0.2">
      <c r="A6" s="3" t="s">
        <v>57</v>
      </c>
      <c r="B6" s="13">
        <f>'2015-16 Budget'!B15+'2015-16 Budget'!B16</f>
        <v>16000</v>
      </c>
      <c r="C6" s="7"/>
      <c r="D6" s="9">
        <f>'2015-16 Budget'!O23</f>
        <v>15000</v>
      </c>
      <c r="E6" s="9"/>
      <c r="F6" s="9">
        <f>('2015-16 Budget'!D15+'2015-16 Budget'!D16+'2015-16 Budget'!D17)-'2015-16 Budget'!Q23</f>
        <v>-158.65999999999985</v>
      </c>
      <c r="G6" s="9">
        <f>('2015-16 Budget'!F15+'2015-16 Budget'!F16+'2015-16 Budget'!F17)-'2015-16 Budget'!S23</f>
        <v>2750.2200000000012</v>
      </c>
      <c r="L6" s="7"/>
      <c r="M6" s="7"/>
    </row>
    <row r="7" spans="1:13" x14ac:dyDescent="0.2">
      <c r="A7" s="3" t="s">
        <v>5</v>
      </c>
      <c r="B7" s="22">
        <f>'2015-16 Budget'!B19</f>
        <v>4000</v>
      </c>
      <c r="D7" s="22">
        <f>'2015-16 Budget'!O8</f>
        <v>22000</v>
      </c>
      <c r="F7" s="22">
        <f>'2015-16 Budget'!D19-'2015-16 Budget'!Q8</f>
        <v>-8741.94</v>
      </c>
      <c r="G7" s="4">
        <f>'2015-16 Budget'!F19-'2015-16 Budget'!S8</f>
        <v>-13743.16</v>
      </c>
      <c r="L7" s="7"/>
      <c r="M7" s="7"/>
    </row>
    <row r="8" spans="1:13" x14ac:dyDescent="0.2">
      <c r="A8" s="3" t="s">
        <v>6</v>
      </c>
      <c r="B8" s="22">
        <f>'2015-16 Budget'!B21</f>
        <v>7500</v>
      </c>
      <c r="D8" s="22">
        <f>'2015-16 Budget'!O7</f>
        <v>30000</v>
      </c>
      <c r="F8" s="22">
        <f>'2015-16 Budget'!D21-'2015-16 Budget'!Q7</f>
        <v>-13943.550000000003</v>
      </c>
      <c r="G8" s="4">
        <f>'2015-16 Budget'!F21-'2015-16 Budget'!S8</f>
        <v>-6330.24</v>
      </c>
      <c r="L8" s="7"/>
      <c r="M8" s="7"/>
    </row>
    <row r="9" spans="1:13" x14ac:dyDescent="0.2">
      <c r="A9" s="3" t="s">
        <v>36</v>
      </c>
      <c r="B9" s="22">
        <f>'2015-16 Budget'!B18</f>
        <v>10000</v>
      </c>
      <c r="D9" s="22">
        <v>0</v>
      </c>
      <c r="F9" s="22">
        <f>'2015-16 Budget'!D18</f>
        <v>13423</v>
      </c>
      <c r="G9" s="4">
        <f>'2015-16 Budget'!F18</f>
        <v>17001</v>
      </c>
      <c r="I9" s="4">
        <v>130699.83</v>
      </c>
      <c r="K9" s="4">
        <v>130000</v>
      </c>
      <c r="L9" s="7"/>
      <c r="M9" s="7"/>
    </row>
    <row r="10" spans="1:13" ht="14.25" customHeight="1" x14ac:dyDescent="0.2">
      <c r="A10" s="3" t="s">
        <v>32</v>
      </c>
      <c r="B10" s="22">
        <f>'2015-16 Budget'!B20</f>
        <v>60</v>
      </c>
      <c r="D10" s="22">
        <v>0</v>
      </c>
      <c r="F10" s="22">
        <f>'2015-16 Budget'!D20</f>
        <v>65.12</v>
      </c>
      <c r="G10" s="4">
        <f>'2015-16 Budget'!F20</f>
        <v>78.12</v>
      </c>
      <c r="I10" s="4">
        <v>7465.5</v>
      </c>
      <c r="K10" s="4">
        <v>19000</v>
      </c>
      <c r="L10" s="7"/>
      <c r="M10" s="7"/>
    </row>
    <row r="11" spans="1:13" x14ac:dyDescent="0.2">
      <c r="A11" s="3" t="s">
        <v>45</v>
      </c>
      <c r="B11" s="22">
        <v>0</v>
      </c>
      <c r="D11" s="22">
        <f>'2015-16 Budget'!O11</f>
        <v>0</v>
      </c>
      <c r="F11" s="22">
        <f>'2015-16 Budget'!Q11</f>
        <v>515.96</v>
      </c>
      <c r="G11" s="4">
        <f>'2015-16 Budget'!S11</f>
        <v>3472.33</v>
      </c>
      <c r="I11" s="4">
        <v>36496</v>
      </c>
      <c r="K11" s="4">
        <v>15000</v>
      </c>
      <c r="L11" s="7"/>
      <c r="M11" s="7"/>
    </row>
    <row r="12" spans="1:13" x14ac:dyDescent="0.2">
      <c r="A12" s="3" t="s">
        <v>58</v>
      </c>
      <c r="B12" s="22">
        <v>0</v>
      </c>
      <c r="D12" s="22">
        <f>'2015-16 Budget'!O21</f>
        <v>1000</v>
      </c>
      <c r="F12" s="22">
        <f>'2015-16 Budget'!Q21</f>
        <v>668.44</v>
      </c>
      <c r="G12" s="4">
        <f>'2015-16 Budget'!S21</f>
        <v>151.72999999999999</v>
      </c>
      <c r="I12" s="4">
        <v>1189.5</v>
      </c>
      <c r="K12" s="4">
        <v>1500</v>
      </c>
      <c r="L12" s="7"/>
      <c r="M12" s="7"/>
    </row>
    <row r="13" spans="1:13" x14ac:dyDescent="0.2">
      <c r="A13" s="3" t="s">
        <v>59</v>
      </c>
      <c r="B13" s="22">
        <v>0</v>
      </c>
      <c r="C13" s="7"/>
      <c r="D13" s="9">
        <f>'2015-16 Budget'!O22</f>
        <v>35000</v>
      </c>
      <c r="E13" s="9"/>
      <c r="F13" s="9">
        <f>'2015-16 Budget'!Q22</f>
        <v>30000</v>
      </c>
      <c r="G13" s="9">
        <f>'2015-16 Budget'!S22</f>
        <v>22000</v>
      </c>
      <c r="I13" s="4">
        <v>1200</v>
      </c>
      <c r="K13" s="4">
        <v>700</v>
      </c>
      <c r="L13" s="7"/>
      <c r="M13" s="7"/>
    </row>
    <row r="14" spans="1:13" x14ac:dyDescent="0.2">
      <c r="A14" s="3" t="s">
        <v>60</v>
      </c>
      <c r="B14" s="22">
        <v>0</v>
      </c>
      <c r="C14" s="7"/>
      <c r="D14" s="9">
        <f>'2015-16 Budget'!O24</f>
        <v>700</v>
      </c>
      <c r="E14" s="9"/>
      <c r="F14" s="9">
        <f>'2015-16 Budget'!Q24</f>
        <v>0</v>
      </c>
      <c r="G14" s="22">
        <v>0</v>
      </c>
      <c r="I14" s="4">
        <f>1790.38+808.59</f>
        <v>2598.9700000000003</v>
      </c>
      <c r="K14" s="4">
        <v>160</v>
      </c>
      <c r="L14" s="7"/>
      <c r="M14" s="7"/>
    </row>
    <row r="15" spans="1:13" ht="13.5" thickBot="1" x14ac:dyDescent="0.25">
      <c r="A15" s="3" t="s">
        <v>35</v>
      </c>
      <c r="B15" s="22">
        <v>0</v>
      </c>
      <c r="C15" s="7"/>
      <c r="D15" s="9">
        <f>'2015-16 Budget'!O25</f>
        <v>5000</v>
      </c>
      <c r="E15" s="9"/>
      <c r="F15" s="9">
        <f>'2015-16 Budget'!Q25</f>
        <v>0</v>
      </c>
      <c r="G15" s="9">
        <f>'2015-16 Budget'!S25</f>
        <v>2412.14</v>
      </c>
      <c r="H15" s="6"/>
      <c r="I15" s="6">
        <v>8758</v>
      </c>
      <c r="J15" s="6"/>
      <c r="K15" s="6">
        <v>10000</v>
      </c>
      <c r="L15" s="7"/>
      <c r="M15" s="7"/>
    </row>
    <row r="16" spans="1:13" x14ac:dyDescent="0.2">
      <c r="A16" s="3" t="s">
        <v>71</v>
      </c>
      <c r="B16" s="22">
        <v>0</v>
      </c>
      <c r="C16" s="7"/>
      <c r="D16" s="9">
        <f>'2015-16 Budget'!O26</f>
        <v>2000</v>
      </c>
      <c r="E16" s="9"/>
      <c r="F16" s="9">
        <f>'2015-16 Budget'!Q26</f>
        <v>1104.54</v>
      </c>
      <c r="G16" s="9">
        <f>'2015-16 Budget'!S26</f>
        <v>303</v>
      </c>
      <c r="H16" s="9"/>
      <c r="I16" s="9"/>
      <c r="J16" s="9"/>
      <c r="K16" s="9"/>
      <c r="L16" s="7"/>
      <c r="M16" s="7"/>
    </row>
    <row r="17" spans="1:13" x14ac:dyDescent="0.2">
      <c r="A17" s="3" t="s">
        <v>44</v>
      </c>
      <c r="B17" s="22">
        <v>0</v>
      </c>
      <c r="C17" s="7"/>
      <c r="D17" s="9">
        <f>'2015-16 Budget'!O27</f>
        <v>20000</v>
      </c>
      <c r="E17" s="9">
        <v>78.12</v>
      </c>
      <c r="F17" s="9">
        <f>'2015-16 Budget'!Q27</f>
        <v>9800</v>
      </c>
      <c r="G17" s="9">
        <f>'2015-16 Budget'!S27</f>
        <v>9800</v>
      </c>
      <c r="L17" s="7"/>
      <c r="M17" s="7"/>
    </row>
    <row r="18" spans="1:13" x14ac:dyDescent="0.2">
      <c r="A18" s="3" t="s">
        <v>26</v>
      </c>
      <c r="B18" s="22">
        <v>0</v>
      </c>
      <c r="C18" s="7"/>
      <c r="D18" s="9">
        <f>'2015-16 Budget'!O31</f>
        <v>4000</v>
      </c>
      <c r="E18" s="9"/>
      <c r="F18" s="9">
        <f>'2015-16 Budget'!Q31</f>
        <v>3700</v>
      </c>
      <c r="G18" s="9">
        <f>'2015-16 Budget'!S31</f>
        <v>3700</v>
      </c>
      <c r="H18" s="4">
        <f>SUM(H4:H15)</f>
        <v>0</v>
      </c>
      <c r="I18" s="4">
        <f>SUM(I4:I15)</f>
        <v>188407.80000000002</v>
      </c>
      <c r="K18" s="4">
        <f>SUM(K4:K15)</f>
        <v>176360</v>
      </c>
      <c r="L18" s="7"/>
      <c r="M18" s="7"/>
    </row>
    <row r="19" spans="1:13" x14ac:dyDescent="0.2">
      <c r="A19" s="3" t="s">
        <v>46</v>
      </c>
      <c r="B19" s="22">
        <v>0</v>
      </c>
      <c r="C19" s="7"/>
      <c r="D19" s="22">
        <v>0</v>
      </c>
      <c r="E19" s="9"/>
      <c r="F19" s="9">
        <f>'2015-16 Budget'!Q32</f>
        <v>0</v>
      </c>
      <c r="G19" s="9">
        <f>'2015-16 Budget'!S32</f>
        <v>21.1</v>
      </c>
      <c r="L19" s="7"/>
      <c r="M19" s="7"/>
    </row>
    <row r="20" spans="1:13" x14ac:dyDescent="0.2">
      <c r="A20" s="3" t="s">
        <v>42</v>
      </c>
      <c r="B20" s="22">
        <v>0</v>
      </c>
      <c r="C20" s="4"/>
      <c r="D20" s="4">
        <f>'2015-16 Budget'!O33</f>
        <v>2000</v>
      </c>
      <c r="E20" s="4"/>
      <c r="F20" s="4">
        <f>'2015-16 Budget'!Q33</f>
        <v>612.27</v>
      </c>
      <c r="G20" s="4">
        <f>'2015-16 Budget'!S33</f>
        <v>1780.97</v>
      </c>
      <c r="L20" s="7"/>
      <c r="M20" s="7"/>
    </row>
    <row r="21" spans="1:13" x14ac:dyDescent="0.2">
      <c r="A21" s="3" t="s">
        <v>40</v>
      </c>
      <c r="B21" s="22">
        <v>0</v>
      </c>
      <c r="C21" s="4"/>
      <c r="D21" s="4">
        <f>'2015-16 Budget'!O34</f>
        <v>600</v>
      </c>
      <c r="E21" s="4"/>
      <c r="F21" s="4">
        <f>'2015-16 Budget'!Q34</f>
        <v>634.1</v>
      </c>
      <c r="G21" s="4">
        <f>'2015-16 Budget'!S34</f>
        <v>349.16</v>
      </c>
      <c r="L21" s="7"/>
      <c r="M21" s="7"/>
    </row>
    <row r="22" spans="1:13" x14ac:dyDescent="0.2">
      <c r="A22" s="3" t="s">
        <v>70</v>
      </c>
      <c r="B22" s="22">
        <v>0</v>
      </c>
      <c r="C22" s="4"/>
      <c r="D22" s="4">
        <f>'2015-16 Budget'!O35</f>
        <v>0</v>
      </c>
      <c r="E22" s="4"/>
      <c r="F22" s="4">
        <f>'2015-16 Budget'!Q35</f>
        <v>1163.8699999999999</v>
      </c>
      <c r="G22" s="4">
        <f>'2015-16 Budget'!S35</f>
        <v>0</v>
      </c>
      <c r="L22" s="7"/>
      <c r="M22" s="7"/>
    </row>
    <row r="23" spans="1:13" x14ac:dyDescent="0.2">
      <c r="A23" s="3" t="s">
        <v>61</v>
      </c>
      <c r="B23" s="22">
        <v>0</v>
      </c>
      <c r="D23" s="22">
        <f>'2015-16 Budget'!O36</f>
        <v>720</v>
      </c>
      <c r="E23" s="22">
        <f>'2015-16 Budget'!P36</f>
        <v>0</v>
      </c>
      <c r="F23" s="22">
        <f>'2015-16 Budget'!Q36</f>
        <v>719.40000000000009</v>
      </c>
      <c r="G23" s="22">
        <f>'2015-16 Budget'!S36</f>
        <v>659.45</v>
      </c>
      <c r="L23" s="7"/>
      <c r="M23" s="7"/>
    </row>
    <row r="24" spans="1:13" x14ac:dyDescent="0.2">
      <c r="A24" s="3" t="s">
        <v>27</v>
      </c>
      <c r="B24" s="22">
        <v>0</v>
      </c>
      <c r="D24" s="22">
        <f>'2015-16 Budget'!O37</f>
        <v>4000</v>
      </c>
      <c r="F24" s="22">
        <f>'2015-16 Budget'!Q37</f>
        <v>5531.8</v>
      </c>
      <c r="G24" s="22">
        <f>'2015-16 Budget'!S37</f>
        <v>3709.23</v>
      </c>
      <c r="L24" s="7"/>
      <c r="M24" s="7"/>
    </row>
    <row r="25" spans="1:13" x14ac:dyDescent="0.2">
      <c r="A25" s="3" t="s">
        <v>28</v>
      </c>
      <c r="B25" s="22">
        <v>0</v>
      </c>
      <c r="D25" s="22">
        <f>'2015-16 Budget'!O38</f>
        <v>0</v>
      </c>
      <c r="F25" s="22">
        <f>'2015-16 Budget'!Q39</f>
        <v>196</v>
      </c>
      <c r="G25" s="22">
        <f>'2015-16 Budget'!S38</f>
        <v>1361.95</v>
      </c>
      <c r="L25" s="7"/>
      <c r="M25" s="7"/>
    </row>
    <row r="26" spans="1:13" x14ac:dyDescent="0.2">
      <c r="A26" s="3" t="s">
        <v>29</v>
      </c>
      <c r="B26" s="22">
        <v>0</v>
      </c>
      <c r="D26" s="22">
        <f>'2015-16 Budget'!O39</f>
        <v>200</v>
      </c>
      <c r="F26" s="22">
        <f>'2015-16 Budget'!Q39</f>
        <v>196</v>
      </c>
      <c r="G26" s="4">
        <f>'2015-16 Budget'!S39</f>
        <v>192</v>
      </c>
      <c r="L26" s="7"/>
      <c r="M26" s="7"/>
    </row>
    <row r="27" spans="1:13" x14ac:dyDescent="0.2">
      <c r="A27" s="3" t="s">
        <v>30</v>
      </c>
      <c r="B27" s="22">
        <v>0</v>
      </c>
      <c r="D27" s="22">
        <f>'2015-16 Budget'!O40</f>
        <v>250</v>
      </c>
      <c r="E27" s="9">
        <f xml:space="preserve"> SUM(H4:H17)</f>
        <v>0</v>
      </c>
      <c r="F27" s="9">
        <f>'2015-16 Budget'!Q40</f>
        <v>120.78999999999999</v>
      </c>
      <c r="G27" s="4">
        <f>'2015-16 Budget'!S40</f>
        <v>3.38</v>
      </c>
      <c r="L27" s="7"/>
      <c r="M27" s="7"/>
    </row>
    <row r="28" spans="1:13" x14ac:dyDescent="0.2">
      <c r="A28" s="3" t="s">
        <v>31</v>
      </c>
      <c r="B28" s="22">
        <v>0</v>
      </c>
      <c r="D28" s="4">
        <f>'2015-16 Budget'!O41</f>
        <v>75</v>
      </c>
      <c r="E28" s="9" t="e">
        <f>SUM(#REF!)</f>
        <v>#REF!</v>
      </c>
      <c r="F28" s="9">
        <f>'2015-16 Budget'!Q41</f>
        <v>0</v>
      </c>
      <c r="G28" s="4">
        <f>'2015-16 Budget'!S41</f>
        <v>9.8000000000000007</v>
      </c>
      <c r="L28" s="7"/>
      <c r="M28" s="7"/>
    </row>
    <row r="29" spans="1:13" ht="13.5" thickBot="1" x14ac:dyDescent="0.25">
      <c r="A29" s="3" t="s">
        <v>19</v>
      </c>
      <c r="B29" s="40">
        <v>0</v>
      </c>
      <c r="C29" s="11"/>
      <c r="D29" s="40">
        <v>0</v>
      </c>
      <c r="E29" s="6" t="e">
        <f>E27-E28</f>
        <v>#REF!</v>
      </c>
      <c r="F29" s="6">
        <f>'2015-16 Budget'!D22</f>
        <v>0</v>
      </c>
      <c r="G29" s="6">
        <f>'2015-16 Budget'!F22</f>
        <v>0</v>
      </c>
      <c r="L29" s="7"/>
      <c r="M29" s="7"/>
    </row>
    <row r="30" spans="1:13" x14ac:dyDescent="0.2">
      <c r="B30" s="22">
        <f>SUM(B5:B29)</f>
        <v>137560</v>
      </c>
      <c r="D30" s="22">
        <f>SUM(D5:D29)</f>
        <v>317545</v>
      </c>
      <c r="F30" s="22">
        <f>SUM(F5:F29)</f>
        <v>52779.930000000008</v>
      </c>
      <c r="G30" s="22">
        <f>SUM(G5:G29)</f>
        <v>49778.829999999994</v>
      </c>
      <c r="L30" s="7"/>
      <c r="M30" s="7"/>
    </row>
    <row r="31" spans="1:13" x14ac:dyDescent="0.2">
      <c r="B31" s="4"/>
      <c r="L31" s="7"/>
      <c r="M31" s="7"/>
    </row>
    <row r="32" spans="1:13" x14ac:dyDescent="0.2">
      <c r="L32" s="7"/>
      <c r="M32" s="7"/>
    </row>
    <row r="33" spans="1:13" x14ac:dyDescent="0.2">
      <c r="A33" s="41" t="s">
        <v>23</v>
      </c>
      <c r="B33" s="42">
        <f>'2015-16 Budget'!B7</f>
        <v>336702.55</v>
      </c>
      <c r="L33" s="7"/>
      <c r="M33" s="7"/>
    </row>
    <row r="34" spans="1:13" x14ac:dyDescent="0.2">
      <c r="A34" s="41" t="s">
        <v>3</v>
      </c>
      <c r="B34" s="42">
        <f>'2015-16 Budget'!B8</f>
        <v>69</v>
      </c>
      <c r="L34" s="7"/>
      <c r="M34" s="7"/>
    </row>
    <row r="35" spans="1:13" x14ac:dyDescent="0.2">
      <c r="A35" s="43" t="s">
        <v>63</v>
      </c>
      <c r="B35" s="44">
        <f>B33+B34</f>
        <v>336771.55</v>
      </c>
      <c r="G35" s="3"/>
      <c r="H35" s="3"/>
      <c r="I35" s="3"/>
      <c r="J35" s="3"/>
      <c r="L35" s="7"/>
      <c r="M35" s="7"/>
    </row>
    <row r="36" spans="1:13" x14ac:dyDescent="0.2">
      <c r="A36" s="41" t="s">
        <v>64</v>
      </c>
      <c r="B36" s="45">
        <f>B30-D30</f>
        <v>-179985</v>
      </c>
      <c r="L36" s="7"/>
      <c r="M36" s="7"/>
    </row>
    <row r="37" spans="1:13" x14ac:dyDescent="0.2">
      <c r="A37" s="46" t="s">
        <v>65</v>
      </c>
      <c r="B37" s="44">
        <f>B35+B36</f>
        <v>156786.54999999999</v>
      </c>
      <c r="L37" s="7"/>
      <c r="M37" s="7"/>
    </row>
    <row r="38" spans="1:13" x14ac:dyDescent="0.2">
      <c r="L38" s="7"/>
      <c r="M38" s="7"/>
    </row>
    <row r="39" spans="1:13" x14ac:dyDescent="0.2">
      <c r="L39" s="7"/>
      <c r="M39" s="7"/>
    </row>
    <row r="40" spans="1:13" x14ac:dyDescent="0.2">
      <c r="B40" s="9"/>
      <c r="L40" s="7"/>
      <c r="M40" s="7"/>
    </row>
    <row r="41" spans="1:13" x14ac:dyDescent="0.2">
      <c r="M41" s="7"/>
    </row>
    <row r="42" spans="1:13" x14ac:dyDescent="0.2">
      <c r="M42" s="7"/>
    </row>
    <row r="43" spans="1:13" x14ac:dyDescent="0.2">
      <c r="M43" s="7"/>
    </row>
    <row r="44" spans="1:13" x14ac:dyDescent="0.2">
      <c r="M44" s="7"/>
    </row>
    <row r="45" spans="1:13" x14ac:dyDescent="0.2">
      <c r="M45" s="7"/>
    </row>
    <row r="46" spans="1:13" x14ac:dyDescent="0.2">
      <c r="M46" s="7"/>
    </row>
  </sheetData>
  <mergeCells count="2">
    <mergeCell ref="A1:L1"/>
    <mergeCell ref="A2:L2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2015-16 Budget</vt:lpstr>
      <vt:lpstr>2015-16 Budget by Category</vt:lpstr>
      <vt:lpstr>'2015-16 Budget'!Print_Area</vt:lpstr>
      <vt:lpstr>'2015-16 Budget by Category'!Print_Area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Treasurer</cp:lastModifiedBy>
  <cp:lastPrinted>2009-10-05T13:19:25Z</cp:lastPrinted>
  <dcterms:created xsi:type="dcterms:W3CDTF">2008-08-29T16:27:41Z</dcterms:created>
  <dcterms:modified xsi:type="dcterms:W3CDTF">2016-07-19T04:57:47Z</dcterms:modified>
</cp:coreProperties>
</file>