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1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20490" windowHeight="7365" activeTab="1"/>
  </bookViews>
  <sheets>
    <sheet name="CONSUMO M3" sheetId="1" r:id="rId1"/>
    <sheet name="FACTURACIÓN" sheetId="2" r:id="rId2"/>
    <sheet name="INGRESO" sheetId="3" r:id="rId3"/>
    <sheet name="CONCEPTOS" sheetId="4" r:id="rId4"/>
    <sheet name="PERDIDAS" sheetId="5" r:id="rId5"/>
    <sheet name="LTHADI" sheetId="6" r:id="rId6"/>
    <sheet name="GASTOS" sheetId="8" r:id="rId7"/>
    <sheet name="PADRON POR USO" sheetId="9" r:id="rId8"/>
    <sheet name="INGRESO POR CONTR" sheetId="10" r:id="rId9"/>
    <sheet name="NIVELES" sheetId="14" r:id="rId10"/>
    <sheet name="INGR POR REC Y GTOS" sheetId="15" r:id="rId11"/>
    <sheet name="INGR X TOMA" sheetId="16" r:id="rId12"/>
  </sheets>
  <externalReferences>
    <externalReference r:id="rId13"/>
    <externalReference r:id="rId14"/>
  </externalReferences>
  <definedNames>
    <definedName name="_xlnm._FilterDatabase" localSheetId="3" hidden="1">CONCEPTOS!$B$6:$F$38</definedName>
  </definedNames>
  <calcPr calcId="152511"/>
</workbook>
</file>

<file path=xl/calcChain.xml><?xml version="1.0" encoding="utf-8"?>
<calcChain xmlns="http://schemas.openxmlformats.org/spreadsheetml/2006/main">
  <c r="W98" i="8" l="1"/>
  <c r="P30" i="3"/>
  <c r="N38" i="9" l="1"/>
  <c r="N39" i="9" s="1"/>
  <c r="N54" i="10" l="1"/>
  <c r="N53" i="10"/>
  <c r="O54" i="10" s="1"/>
  <c r="D54" i="10" l="1"/>
  <c r="E54" i="10"/>
  <c r="F54" i="10"/>
  <c r="G54" i="10"/>
  <c r="H54" i="10"/>
  <c r="I54" i="10"/>
  <c r="J54" i="10"/>
  <c r="K54" i="10"/>
  <c r="L54" i="10"/>
  <c r="C54" i="10"/>
  <c r="Q11" i="2" l="1"/>
  <c r="D11" i="2"/>
  <c r="E11" i="2"/>
  <c r="F11" i="2"/>
  <c r="G11" i="2"/>
  <c r="H11" i="2"/>
  <c r="I11" i="2"/>
  <c r="J11" i="2"/>
  <c r="K11" i="2"/>
  <c r="L11" i="2"/>
  <c r="M11" i="2"/>
  <c r="N11" i="2"/>
  <c r="C11" i="2"/>
  <c r="D11" i="3"/>
  <c r="E11" i="3"/>
  <c r="F11" i="3"/>
  <c r="G11" i="3"/>
  <c r="H11" i="3"/>
  <c r="I11" i="3"/>
  <c r="J11" i="3"/>
  <c r="K11" i="3"/>
  <c r="L11" i="3"/>
  <c r="M11" i="3"/>
  <c r="N11" i="3"/>
  <c r="C11" i="3"/>
  <c r="O11" i="3" s="1"/>
  <c r="O11" i="2" l="1"/>
  <c r="P11" i="2" s="1"/>
  <c r="N46" i="10" l="1"/>
  <c r="E24" i="14" l="1"/>
  <c r="E25" i="14" s="1"/>
  <c r="E13" i="14"/>
  <c r="E14" i="14" s="1"/>
  <c r="G24" i="14"/>
  <c r="G25" i="14" s="1"/>
  <c r="G13" i="14"/>
  <c r="G14" i="14" s="1"/>
  <c r="Q29" i="10" l="1"/>
  <c r="R29" i="10" s="1"/>
  <c r="S29" i="10" s="1"/>
  <c r="P29" i="10"/>
  <c r="J24" i="9" l="1"/>
  <c r="R34" i="10" l="1"/>
  <c r="R35" i="10" s="1"/>
  <c r="S35" i="10" s="1"/>
  <c r="G37" i="4" l="1"/>
  <c r="G8" i="1" l="1"/>
  <c r="O8" i="3" l="1"/>
  <c r="E17" i="6" l="1"/>
  <c r="F17" i="6"/>
  <c r="G17" i="6"/>
  <c r="H17" i="6"/>
  <c r="I17" i="6"/>
  <c r="J17" i="6"/>
  <c r="K17" i="6"/>
  <c r="L17" i="6"/>
  <c r="M17" i="6"/>
  <c r="N17" i="6"/>
  <c r="O17" i="6"/>
  <c r="D17" i="6"/>
  <c r="E12" i="6"/>
  <c r="F12" i="6"/>
  <c r="G12" i="6"/>
  <c r="H12" i="6"/>
  <c r="I12" i="6"/>
  <c r="K12" i="6"/>
  <c r="L12" i="6"/>
  <c r="M12" i="6"/>
  <c r="N12" i="6"/>
  <c r="O12" i="6"/>
  <c r="D12" i="6"/>
  <c r="N10" i="15" l="1"/>
  <c r="C15" i="15"/>
  <c r="F15" i="15"/>
  <c r="G15" i="15"/>
  <c r="H15" i="15"/>
  <c r="I15" i="15"/>
  <c r="M15" i="15"/>
  <c r="B15" i="15"/>
  <c r="C11" i="15" l="1"/>
  <c r="D11" i="15"/>
  <c r="E11" i="15"/>
  <c r="F11" i="15"/>
  <c r="G11" i="15"/>
  <c r="H11" i="15"/>
  <c r="I11" i="15"/>
  <c r="J11" i="15"/>
  <c r="K11" i="15"/>
  <c r="L11" i="15"/>
  <c r="B11" i="15"/>
  <c r="N11" i="15" s="1"/>
  <c r="N7" i="15"/>
  <c r="D8" i="15"/>
  <c r="F8" i="15"/>
  <c r="G8" i="15"/>
  <c r="H8" i="15"/>
  <c r="I8" i="15"/>
  <c r="K8" i="15"/>
  <c r="L8" i="15"/>
  <c r="M8" i="15"/>
  <c r="B8" i="15"/>
  <c r="N8" i="15" s="1"/>
  <c r="N14" i="15" l="1"/>
  <c r="N15" i="15"/>
  <c r="E9" i="3"/>
  <c r="F9" i="3"/>
  <c r="G9" i="3"/>
  <c r="H9" i="3"/>
  <c r="I9" i="3"/>
  <c r="J9" i="3"/>
  <c r="K9" i="3"/>
  <c r="L9" i="3"/>
  <c r="M9" i="3"/>
  <c r="N9" i="3"/>
  <c r="D9" i="3" l="1"/>
  <c r="D10" i="3" s="1"/>
  <c r="C9" i="3"/>
  <c r="C10" i="3" s="1"/>
  <c r="D10" i="2"/>
  <c r="E10" i="2"/>
  <c r="F10" i="2"/>
  <c r="G10" i="2"/>
  <c r="H10" i="2"/>
  <c r="I10" i="2"/>
  <c r="J10" i="2"/>
  <c r="K10" i="2"/>
  <c r="L10" i="2"/>
  <c r="M10" i="2"/>
  <c r="N10" i="2"/>
  <c r="C10" i="2"/>
  <c r="E9" i="2"/>
  <c r="F9" i="2"/>
  <c r="G9" i="2"/>
  <c r="H9" i="2"/>
  <c r="I9" i="2"/>
  <c r="J9" i="2"/>
  <c r="K9" i="2"/>
  <c r="L9" i="2"/>
  <c r="M9" i="2"/>
  <c r="N9" i="2"/>
  <c r="D9" i="2"/>
  <c r="C9" i="2"/>
  <c r="O9" i="2" s="1"/>
  <c r="O5" i="3" l="1"/>
  <c r="O6" i="3"/>
  <c r="F29" i="9" l="1"/>
  <c r="G29" i="9"/>
  <c r="H29" i="9"/>
  <c r="I29" i="9"/>
  <c r="J29" i="9"/>
  <c r="K29" i="9"/>
  <c r="L29" i="9"/>
  <c r="M29" i="9"/>
  <c r="N29" i="9"/>
  <c r="N30" i="9" s="1"/>
  <c r="O29" i="9"/>
  <c r="D29" i="9"/>
  <c r="E29" i="9"/>
  <c r="O8" i="2" l="1"/>
  <c r="Q8" i="2" s="1"/>
  <c r="N51" i="10" l="1"/>
  <c r="M51" i="10"/>
  <c r="L51" i="10"/>
  <c r="K51" i="10"/>
  <c r="J51" i="10"/>
  <c r="I51" i="10"/>
  <c r="H51" i="10"/>
  <c r="G51" i="10"/>
  <c r="F51" i="10"/>
  <c r="E51" i="10"/>
  <c r="D51" i="10"/>
  <c r="C51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O7" i="3" l="1"/>
  <c r="P16" i="6" l="1"/>
  <c r="Q16" i="6" s="1"/>
  <c r="P15" i="6"/>
  <c r="Q15" i="6" s="1"/>
  <c r="P8" i="1"/>
  <c r="R16" i="6" l="1"/>
  <c r="P5" i="1"/>
  <c r="P6" i="1"/>
  <c r="P7" i="1"/>
  <c r="E11" i="9" l="1"/>
  <c r="F11" i="9"/>
  <c r="G11" i="9"/>
  <c r="M11" i="9"/>
  <c r="N11" i="9"/>
  <c r="O11" i="9"/>
  <c r="M30" i="4"/>
  <c r="J11" i="6" l="1"/>
  <c r="J12" i="6" s="1"/>
  <c r="P10" i="6"/>
  <c r="Q10" i="6" s="1"/>
  <c r="P11" i="6" l="1"/>
  <c r="Q11" i="6" s="1"/>
  <c r="R11" i="6" s="1"/>
  <c r="O5" i="2"/>
  <c r="O7" i="2"/>
  <c r="N34" i="10"/>
  <c r="N35" i="10"/>
  <c r="N28" i="10"/>
  <c r="M34" i="10" l="1"/>
  <c r="M28" i="10"/>
  <c r="N62" i="10" l="1"/>
  <c r="B68" i="10"/>
  <c r="L28" i="10" l="1"/>
  <c r="L34" i="10"/>
  <c r="J79" i="8" l="1"/>
  <c r="K79" i="8"/>
  <c r="N55" i="10" l="1"/>
  <c r="K35" i="10"/>
  <c r="K34" i="10"/>
  <c r="K28" i="10"/>
  <c r="J35" i="10" l="1"/>
  <c r="J29" i="10"/>
  <c r="J34" i="10" l="1"/>
  <c r="J28" i="10"/>
  <c r="I79" i="8" l="1"/>
  <c r="I34" i="10" l="1"/>
  <c r="I28" i="10"/>
  <c r="D79" i="8" l="1"/>
  <c r="E79" i="8"/>
  <c r="F79" i="8"/>
  <c r="G79" i="8"/>
  <c r="H79" i="8"/>
  <c r="L79" i="8"/>
  <c r="M79" i="8"/>
  <c r="N79" i="8"/>
  <c r="C79" i="8"/>
  <c r="D40" i="8"/>
  <c r="E40" i="8"/>
  <c r="G40" i="8"/>
  <c r="H40" i="8"/>
  <c r="I40" i="8"/>
  <c r="J40" i="8"/>
  <c r="K40" i="8"/>
  <c r="L40" i="8"/>
  <c r="M40" i="8"/>
  <c r="C40" i="8"/>
  <c r="D16" i="9" l="1"/>
  <c r="D21" i="9" s="1"/>
  <c r="H35" i="10"/>
  <c r="H34" i="10"/>
  <c r="H28" i="10"/>
  <c r="E16" i="9" l="1"/>
  <c r="E21" i="9" l="1"/>
  <c r="F16" i="9"/>
  <c r="D18" i="10"/>
  <c r="E18" i="10"/>
  <c r="F18" i="10"/>
  <c r="G18" i="10"/>
  <c r="H18" i="10"/>
  <c r="I18" i="10"/>
  <c r="J18" i="10"/>
  <c r="K18" i="10"/>
  <c r="L18" i="10"/>
  <c r="M18" i="10"/>
  <c r="N18" i="10"/>
  <c r="C18" i="10"/>
  <c r="D12" i="10"/>
  <c r="E12" i="10"/>
  <c r="F12" i="10"/>
  <c r="G12" i="10"/>
  <c r="H12" i="10"/>
  <c r="I12" i="10"/>
  <c r="J12" i="10"/>
  <c r="K12" i="10"/>
  <c r="L12" i="10"/>
  <c r="M12" i="10"/>
  <c r="N12" i="10"/>
  <c r="C12" i="10"/>
  <c r="O12" i="10" l="1"/>
  <c r="P12" i="10" s="1"/>
  <c r="Q12" i="10" s="1"/>
  <c r="R12" i="10" s="1"/>
  <c r="S12" i="10" s="1"/>
  <c r="O18" i="10"/>
  <c r="G16" i="9"/>
  <c r="F21" i="9"/>
  <c r="E35" i="10"/>
  <c r="F35" i="10"/>
  <c r="G35" i="10"/>
  <c r="D35" i="10"/>
  <c r="C35" i="10"/>
  <c r="D29" i="10"/>
  <c r="E29" i="10"/>
  <c r="F29" i="10"/>
  <c r="G29" i="10"/>
  <c r="H29" i="10"/>
  <c r="K29" i="10"/>
  <c r="C29" i="10"/>
  <c r="O6" i="2"/>
  <c r="O50" i="10" l="1"/>
  <c r="O35" i="10"/>
  <c r="G21" i="9"/>
  <c r="H16" i="9"/>
  <c r="O44" i="10"/>
  <c r="F37" i="4"/>
  <c r="H21" i="9" l="1"/>
  <c r="I16" i="9"/>
  <c r="G28" i="10"/>
  <c r="G34" i="10"/>
  <c r="F34" i="10"/>
  <c r="F28" i="10"/>
  <c r="E28" i="10"/>
  <c r="E34" i="10"/>
  <c r="D34" i="10"/>
  <c r="C34" i="10"/>
  <c r="C28" i="10"/>
  <c r="J16" i="9" l="1"/>
  <c r="K16" i="9" s="1"/>
  <c r="I21" i="9"/>
  <c r="J21" i="9" s="1"/>
  <c r="D28" i="10"/>
  <c r="L16" i="9" l="1"/>
  <c r="M16" i="9" s="1"/>
  <c r="N16" i="9" s="1"/>
  <c r="O16" i="9" s="1"/>
  <c r="K21" i="9"/>
  <c r="L21" i="9" s="1"/>
  <c r="M21" i="9" s="1"/>
  <c r="N21" i="9" s="1"/>
  <c r="O21" i="9" s="1"/>
  <c r="O6" i="10"/>
  <c r="P6" i="10" s="1"/>
  <c r="O7" i="10"/>
  <c r="O8" i="10"/>
  <c r="O9" i="10"/>
  <c r="O10" i="10"/>
  <c r="P5" i="6" l="1"/>
  <c r="Q5" i="6" s="1"/>
  <c r="P6" i="6"/>
  <c r="Q6" i="6" s="1"/>
  <c r="R6" i="6" l="1"/>
  <c r="K37" i="4"/>
  <c r="J37" i="4"/>
  <c r="I37" i="4"/>
  <c r="R9" i="5" l="1"/>
  <c r="R10" i="5"/>
  <c r="Q6" i="5"/>
  <c r="R6" i="5" s="1"/>
  <c r="Q7" i="5"/>
  <c r="R7" i="5" s="1"/>
  <c r="Q8" i="5"/>
  <c r="R8" i="5" s="1"/>
  <c r="Q9" i="5"/>
  <c r="Q10" i="5"/>
  <c r="N11" i="10" l="1"/>
  <c r="N17" i="10"/>
  <c r="M17" i="10"/>
  <c r="M11" i="10"/>
  <c r="L11" i="10" l="1"/>
  <c r="L17" i="10"/>
  <c r="K17" i="10" l="1"/>
  <c r="K11" i="10"/>
  <c r="J11" i="10" l="1"/>
  <c r="J17" i="10"/>
  <c r="I17" i="10" l="1"/>
  <c r="I11" i="10"/>
  <c r="G11" i="10"/>
  <c r="H17" i="10"/>
  <c r="H11" i="10"/>
  <c r="G17" i="10"/>
  <c r="F11" i="10"/>
  <c r="F17" i="10"/>
  <c r="D17" i="10"/>
  <c r="C17" i="10"/>
  <c r="E17" i="10"/>
  <c r="E11" i="10"/>
  <c r="D11" i="10"/>
  <c r="C11" i="10"/>
  <c r="O11" i="10" l="1"/>
  <c r="H6" i="9"/>
  <c r="D6" i="9"/>
  <c r="D11" i="9" s="1"/>
  <c r="P11" i="9" s="1"/>
  <c r="I6" i="9" l="1"/>
  <c r="H11" i="9"/>
  <c r="F14" i="8"/>
  <c r="F13" i="8"/>
  <c r="F12" i="8"/>
  <c r="F10" i="8"/>
  <c r="F9" i="8"/>
  <c r="F11" i="8" s="1"/>
  <c r="F8" i="8"/>
  <c r="F7" i="8"/>
  <c r="F6" i="8"/>
  <c r="F5" i="8"/>
  <c r="F40" i="8" s="1"/>
  <c r="I11" i="9" l="1"/>
  <c r="J6" i="9"/>
  <c r="C37" i="4"/>
  <c r="D37" i="4"/>
  <c r="E37" i="4"/>
  <c r="J11" i="9" l="1"/>
  <c r="K6" i="9"/>
  <c r="K11" i="9" l="1"/>
  <c r="L6" i="9"/>
  <c r="L11" i="9" s="1"/>
</calcChain>
</file>

<file path=xl/sharedStrings.xml><?xml version="1.0" encoding="utf-8"?>
<sst xmlns="http://schemas.openxmlformats.org/spreadsheetml/2006/main" count="478" uniqueCount="140">
  <si>
    <t>ENERO</t>
  </si>
  <si>
    <t>FEBRERO</t>
  </si>
  <si>
    <t>MARZO</t>
  </si>
  <si>
    <t>ABRIL</t>
  </si>
  <si>
    <t>MAYO</t>
  </si>
  <si>
    <t>JUNIO</t>
  </si>
  <si>
    <t>CONSUMOS EN M3</t>
  </si>
  <si>
    <t>FACTURACION</t>
  </si>
  <si>
    <t>AGUA EN PIPAS</t>
  </si>
  <si>
    <t>CAMBIO DE TITULAR</t>
  </si>
  <si>
    <t>CONSUMO ESTIMADO</t>
  </si>
  <si>
    <t>CONTRATO DE AGUA POTABLE</t>
  </si>
  <si>
    <t>CONTRATO DE DESCARGA DE AGUA RESIDU</t>
  </si>
  <si>
    <t>CUENTA CORRIENTE DE AGUA</t>
  </si>
  <si>
    <t>CUENTA CORRIENTE DE DRENAJE</t>
  </si>
  <si>
    <t>CUENTA CORRIENTE DE SANEAMIENTO</t>
  </si>
  <si>
    <t>DESCUENTO O ESTIMULO PAGO ANUAL</t>
  </si>
  <si>
    <t>DUPLICADO DE RECIBO</t>
  </si>
  <si>
    <t>GASTOS DE EJECUCION</t>
  </si>
  <si>
    <t>INCORPORACION INDIVIDUAL AGUA POTAB</t>
  </si>
  <si>
    <t>INCORPORACION INDIVIDUAL DE DRENAJE</t>
  </si>
  <si>
    <t>INTERESES CONVENIO</t>
  </si>
  <si>
    <t>IVA</t>
  </si>
  <si>
    <t>IVA DE CUENTA CORRIENTE</t>
  </si>
  <si>
    <t>IVA DE REZAGO DE AGUA</t>
  </si>
  <si>
    <t>MATERIALES  E INSTALACION  DEL RAMA</t>
  </si>
  <si>
    <t>MATERIALES E INTALACION DE CUADRO D</t>
  </si>
  <si>
    <t>MATERIALES E INTALACION PARA DESCAR</t>
  </si>
  <si>
    <t>METRO ADICIONAL TERRACERIA</t>
  </si>
  <si>
    <t>MULTA</t>
  </si>
  <si>
    <t>RECARGOS</t>
  </si>
  <si>
    <t>RECONEXION</t>
  </si>
  <si>
    <t>REZAGO DE AGUA</t>
  </si>
  <si>
    <t>REZAGO DE DRENAJE</t>
  </si>
  <si>
    <t>REZAGO DE SANEAMIENTO</t>
  </si>
  <si>
    <t>SUMINISTRO  DE AGUA TRATADA</t>
  </si>
  <si>
    <t>SUMINISTRO E INTALACION DE MEDIDORE</t>
  </si>
  <si>
    <t>SUSPENCION VOLUNTARIA</t>
  </si>
  <si>
    <t>CONCEPTO</t>
  </si>
  <si>
    <t>COMITÉ MUNICIPAL DE AGU POTABLE ALCANTARILLADO Y SANEMIENTO DE SAN DIEGO DE LA UNION</t>
  </si>
  <si>
    <t>TOTAL</t>
  </si>
  <si>
    <t>M3 FACTURADO</t>
  </si>
  <si>
    <t>M3 INGRESADO</t>
  </si>
  <si>
    <t>JULIO</t>
  </si>
  <si>
    <t>ENE - FEB</t>
  </si>
  <si>
    <t xml:space="preserve">MARZO </t>
  </si>
  <si>
    <t>INGRESOS TOTALES</t>
  </si>
  <si>
    <t>INGRESOS POR EL SERVICO DE AGUA POTABLE</t>
  </si>
  <si>
    <t>INGRESOS POR EL SERVIO DE DRENAJE SANITARIO</t>
  </si>
  <si>
    <t>INGRESOS POR EL SERVICO DE TRATAMIENTO</t>
  </si>
  <si>
    <t>INGRESOS POR LA VENTA DE AGUA TRATADA</t>
  </si>
  <si>
    <t>INGRESOS POR DERECHO DE INCORPORACION</t>
  </si>
  <si>
    <t>INGRESOS POR SERVICIOS OPERATIVOS</t>
  </si>
  <si>
    <t>INGRESOS POR SERVICIOS ADMINISTRATIVOS</t>
  </si>
  <si>
    <t>INGRESOS POR REZAGOS</t>
  </si>
  <si>
    <t>INGRESOS POR NUEVAS CONEXIONES DE AGUA POTABLE Y DESCARGAS SANITARIAS</t>
  </si>
  <si>
    <t>OTROS INGRESOS</t>
  </si>
  <si>
    <t>INGRESO POR LA VENTA DE AGUA EN PIPAS</t>
  </si>
  <si>
    <t>DEVOLUCION DE IVA</t>
  </si>
  <si>
    <t>DEVOLUCION DE DERECHOS DE EXTRACCION</t>
  </si>
  <si>
    <t>DEVOLUCION DE DERECHOS DE DESCARGA</t>
  </si>
  <si>
    <t>GASTOS TOTALES DE OPERACIÓN</t>
  </si>
  <si>
    <t>GASTOS DE OPERACIÓN DEL SISTEMA DE AGUA POTABLE</t>
  </si>
  <si>
    <t>GASTOS DE OPERACIÓN DEL SISTEMA DE DRENAJE SANITARIO</t>
  </si>
  <si>
    <t>GASTOS DE OPERACIÓN DE LA PLANTA DE TRATAMIENTO DE AGUAS RESIDUALES</t>
  </si>
  <si>
    <t>GASTOS DE ADMINISTRACION</t>
  </si>
  <si>
    <t>OTROS GASTOS</t>
  </si>
  <si>
    <t>GASTO POR ENERGIA ELECTRICA PARA LA OPERACIÓN DE LOS POZOS</t>
  </si>
  <si>
    <t>GASTOS DE ENERGIA ELECTRICA PARA LA OPERACIÓN DE PLANTA DE TRATAMIENTO</t>
  </si>
  <si>
    <t>GASTOS POR ENERGIA ELECTRICA PARA BOMBEO DE AGUAS RESIDUALES</t>
  </si>
  <si>
    <t>GASTOS POR SUELDOS</t>
  </si>
  <si>
    <t>GASTOS POR PREVICION SOCIAL</t>
  </si>
  <si>
    <t>GASTOS EN DERECHO DE EXTRACCION</t>
  </si>
  <si>
    <t>GASTOS EN DERECHO DE DESCARGA</t>
  </si>
  <si>
    <t>APORTACIONES FEDERALES</t>
  </si>
  <si>
    <t>APORTACIONES ESTATALES</t>
  </si>
  <si>
    <t>APORTACIONES MUNICIPALES</t>
  </si>
  <si>
    <t>TOMAS DOMESTICAS DE AGUA POTABLE</t>
  </si>
  <si>
    <t>TOMAS COMERCIALES DE AGUA POTABLE</t>
  </si>
  <si>
    <t>TOMAS INDUSTRIALES DE AGUA POTABLE</t>
  </si>
  <si>
    <t>TOMAS MIXTAS DE AGUA POTABLE</t>
  </si>
  <si>
    <t>TOMAS PUBLICAS DE AGUA POTABLE</t>
  </si>
  <si>
    <t>MATERIAL E INSTALACION DE CUADRO DE MED</t>
  </si>
  <si>
    <t>MATERIAL E INSTALACION DEL RAMAL</t>
  </si>
  <si>
    <t xml:space="preserve">INCORPORACION INDIVIDUAL </t>
  </si>
  <si>
    <t>SUMINISTRO E INSTALACION DE MEDIDOR</t>
  </si>
  <si>
    <t>CONTRATO DE DESCARGA DE AGUA RECIDUAL</t>
  </si>
  <si>
    <t>TOTAL CONTRATOS DRENAJE</t>
  </si>
  <si>
    <t>TOTAL CONTRATOS AGUA</t>
  </si>
  <si>
    <t>LT/HAB/DIA CONSUMIDO</t>
  </si>
  <si>
    <t>LT/HAB/DIA DOTACION</t>
  </si>
  <si>
    <t xml:space="preserve">JULIO </t>
  </si>
  <si>
    <t>AGOSTO</t>
  </si>
  <si>
    <t xml:space="preserve">AGOSTO </t>
  </si>
  <si>
    <t>ROSA DE CASTILLA</t>
  </si>
  <si>
    <t>TANQUE NUEVO</t>
  </si>
  <si>
    <t>EL SALITRE</t>
  </si>
  <si>
    <t>PARRITAS</t>
  </si>
  <si>
    <t>TEMAZCALILLO</t>
  </si>
  <si>
    <t>SEPTIEMBRE</t>
  </si>
  <si>
    <t>OCTUBRE</t>
  </si>
  <si>
    <t>NOVIEMBRE</t>
  </si>
  <si>
    <t>DICIEMBRE</t>
  </si>
  <si>
    <t>ANUAL</t>
  </si>
  <si>
    <t>MENSUAL</t>
  </si>
  <si>
    <t>SEMESTRAL</t>
  </si>
  <si>
    <t>LITROS HABITANTE DIA</t>
  </si>
  <si>
    <t>CONTRATOS DE AGUA 2017</t>
  </si>
  <si>
    <t>CONTRATOS DE AGUA 2018</t>
  </si>
  <si>
    <t>CONTRATOS DE DRENAJE 2018</t>
  </si>
  <si>
    <t>INGRESO POR AGUA POTABLE</t>
  </si>
  <si>
    <t>CONTRATO DE DRENAJE 2017</t>
  </si>
  <si>
    <t>TOMAS POR CLASE DE SERVICIO 2018</t>
  </si>
  <si>
    <t>TOMAS POR CLASE DE SERVICIO 2017</t>
  </si>
  <si>
    <t>PROMEDIO COMPARATIVOS DE RECIBOS</t>
  </si>
  <si>
    <t>PERDIDA O GANANCIA GENERAL 2018</t>
  </si>
  <si>
    <t>NIVELES DE POZOS</t>
  </si>
  <si>
    <t>NIVEL ESTATICO</t>
  </si>
  <si>
    <t>PRESITA</t>
  </si>
  <si>
    <t>NIVEL DINAMICO</t>
  </si>
  <si>
    <t>PERDIDA O GANANCIA 2018</t>
  </si>
  <si>
    <t>PERDIDA O GANANCIA 2017</t>
  </si>
  <si>
    <t xml:space="preserve"> $                      -  </t>
  </si>
  <si>
    <t xml:space="preserve"> RECIBO FACTURADO </t>
  </si>
  <si>
    <t xml:space="preserve"> RECIBO INGRESADO </t>
  </si>
  <si>
    <t xml:space="preserve">PERDIDA O GANANCIA GENERAL </t>
  </si>
  <si>
    <t>NUMERO DE RECONEXIONES</t>
  </si>
  <si>
    <t>IMPORTE</t>
  </si>
  <si>
    <t>CONTRATOS DE AGUA 2019</t>
  </si>
  <si>
    <t>CONTRATOS DE DRENAJE 2019</t>
  </si>
  <si>
    <t>PROMEDIO</t>
  </si>
  <si>
    <t>Indexación</t>
  </si>
  <si>
    <t>TOMAS POR CLASE DE SERVICIO 2019 (activo )</t>
  </si>
  <si>
    <t>TOMAS POR CLASE DE SERVICIO 2019 ( General )</t>
  </si>
  <si>
    <t>NOTA: AQUÍ SE INCLUYEN 313 TOTALES Y ACTIVAS 305 CUENTAS QUE CORRESPONDEN A LA NORIA A LA CUAL SOLO SE FACTURA DRENAJE Y SANEAMIENTO</t>
  </si>
  <si>
    <t>AÑO</t>
  </si>
  <si>
    <t>INGRESOS POR SERVICIO DE AGUA</t>
  </si>
  <si>
    <t xml:space="preserve">INGRESOS POR SERVICIO DE AGUA </t>
  </si>
  <si>
    <t>TOMAS DE AGUA</t>
  </si>
  <si>
    <t>518-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</si>
</sst>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#.0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16"/>
      <name val="Arial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55">
    <xf numFmtId="0" fontId="0" fillId="0" borderId="0" xfId="0"/>
    <xf numFmtId="0" fontId="0" fillId="2" borderId="0" xfId="0" applyFill="1"/>
    <xf numFmtId="44" fontId="0" fillId="0" borderId="0" xfId="1" applyFont="1"/>
    <xf numFmtId="0" fontId="0" fillId="2" borderId="0" xfId="0" applyFill="1" applyAlignment="1"/>
    <xf numFmtId="44" fontId="2" fillId="0" borderId="1" xfId="1" applyFont="1" applyBorder="1"/>
    <xf numFmtId="0" fontId="2" fillId="0" borderId="1" xfId="0" applyFont="1" applyBorder="1"/>
    <xf numFmtId="164" fontId="4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2" fillId="0" borderId="0" xfId="0" applyFont="1"/>
    <xf numFmtId="0" fontId="2" fillId="0" borderId="0" xfId="0" applyFont="1" applyAlignment="1"/>
    <xf numFmtId="44" fontId="2" fillId="0" borderId="0" xfId="0" applyNumberFormat="1" applyFont="1"/>
    <xf numFmtId="44" fontId="2" fillId="0" borderId="1" xfId="0" applyNumberFormat="1" applyFont="1" applyBorder="1"/>
    <xf numFmtId="0" fontId="2" fillId="7" borderId="3" xfId="0" applyFont="1" applyFill="1" applyBorder="1"/>
    <xf numFmtId="0" fontId="2" fillId="7" borderId="4" xfId="0" applyFont="1" applyFill="1" applyBorder="1"/>
    <xf numFmtId="44" fontId="2" fillId="5" borderId="3" xfId="1" applyFont="1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1" xfId="0" applyNumberFormat="1" applyFont="1" applyFill="1" applyBorder="1"/>
    <xf numFmtId="0" fontId="2" fillId="5" borderId="1" xfId="0" applyFont="1" applyFill="1" applyBorder="1"/>
    <xf numFmtId="44" fontId="2" fillId="5" borderId="1" xfId="1" applyFont="1" applyFill="1" applyBorder="1"/>
    <xf numFmtId="44" fontId="2" fillId="0" borderId="1" xfId="1" applyFont="1" applyFill="1" applyBorder="1"/>
    <xf numFmtId="9" fontId="2" fillId="0" borderId="0" xfId="2" applyFont="1"/>
    <xf numFmtId="0" fontId="2" fillId="17" borderId="1" xfId="0" applyFont="1" applyFill="1" applyBorder="1"/>
    <xf numFmtId="0" fontId="2" fillId="14" borderId="1" xfId="0" applyFont="1" applyFill="1" applyBorder="1"/>
    <xf numFmtId="0" fontId="2" fillId="16" borderId="1" xfId="0" applyFont="1" applyFill="1" applyBorder="1"/>
    <xf numFmtId="0" fontId="2" fillId="11" borderId="1" xfId="0" applyFont="1" applyFill="1" applyBorder="1"/>
    <xf numFmtId="0" fontId="2" fillId="18" borderId="1" xfId="0" applyFont="1" applyFill="1" applyBorder="1"/>
    <xf numFmtId="0" fontId="2" fillId="19" borderId="1" xfId="0" applyFont="1" applyFill="1" applyBorder="1"/>
    <xf numFmtId="0" fontId="2" fillId="6" borderId="1" xfId="0" applyFont="1" applyFill="1" applyBorder="1"/>
    <xf numFmtId="0" fontId="2" fillId="20" borderId="1" xfId="0" applyFont="1" applyFill="1" applyBorder="1"/>
    <xf numFmtId="0" fontId="2" fillId="0" borderId="2" xfId="0" applyFont="1" applyBorder="1"/>
    <xf numFmtId="44" fontId="2" fillId="17" borderId="1" xfId="1" applyFont="1" applyFill="1" applyBorder="1"/>
    <xf numFmtId="44" fontId="2" fillId="14" borderId="1" xfId="1" applyFont="1" applyFill="1" applyBorder="1"/>
    <xf numFmtId="44" fontId="2" fillId="16" borderId="1" xfId="1" applyFont="1" applyFill="1" applyBorder="1"/>
    <xf numFmtId="44" fontId="2" fillId="11" borderId="1" xfId="1" applyFont="1" applyFill="1" applyBorder="1"/>
    <xf numFmtId="44" fontId="2" fillId="18" borderId="1" xfId="1" applyFont="1" applyFill="1" applyBorder="1"/>
    <xf numFmtId="44" fontId="2" fillId="19" borderId="1" xfId="1" applyFont="1" applyFill="1" applyBorder="1"/>
    <xf numFmtId="44" fontId="2" fillId="6" borderId="1" xfId="1" applyFont="1" applyFill="1" applyBorder="1"/>
    <xf numFmtId="44" fontId="2" fillId="20" borderId="1" xfId="1" applyFont="1" applyFill="1" applyBorder="1"/>
    <xf numFmtId="44" fontId="2" fillId="17" borderId="1" xfId="0" applyNumberFormat="1" applyFont="1" applyFill="1" applyBorder="1"/>
    <xf numFmtId="44" fontId="2" fillId="14" borderId="1" xfId="0" applyNumberFormat="1" applyFont="1" applyFill="1" applyBorder="1"/>
    <xf numFmtId="44" fontId="2" fillId="16" borderId="1" xfId="0" applyNumberFormat="1" applyFont="1" applyFill="1" applyBorder="1"/>
    <xf numFmtId="44" fontId="2" fillId="11" borderId="1" xfId="0" applyNumberFormat="1" applyFont="1" applyFill="1" applyBorder="1"/>
    <xf numFmtId="44" fontId="2" fillId="18" borderId="1" xfId="0" applyNumberFormat="1" applyFont="1" applyFill="1" applyBorder="1"/>
    <xf numFmtId="44" fontId="2" fillId="19" borderId="1" xfId="0" applyNumberFormat="1" applyFont="1" applyFill="1" applyBorder="1"/>
    <xf numFmtId="44" fontId="2" fillId="6" borderId="1" xfId="0" applyNumberFormat="1" applyFont="1" applyFill="1" applyBorder="1"/>
    <xf numFmtId="164" fontId="4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/>
    <xf numFmtId="1" fontId="2" fillId="0" borderId="0" xfId="0" applyNumberFormat="1" applyFont="1"/>
    <xf numFmtId="0" fontId="2" fillId="8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 vertical="top"/>
    </xf>
    <xf numFmtId="0" fontId="2" fillId="12" borderId="1" xfId="0" applyFont="1" applyFill="1" applyBorder="1" applyAlignment="1">
      <alignment horizontal="center" vertical="top"/>
    </xf>
    <xf numFmtId="0" fontId="2" fillId="1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16" borderId="1" xfId="2" applyNumberFormat="1" applyFont="1" applyFill="1" applyBorder="1"/>
    <xf numFmtId="0" fontId="2" fillId="13" borderId="1" xfId="0" applyFont="1" applyFill="1" applyBorder="1"/>
    <xf numFmtId="0" fontId="2" fillId="0" borderId="1" xfId="2" applyNumberFormat="1" applyFont="1" applyBorder="1"/>
    <xf numFmtId="0" fontId="2" fillId="0" borderId="0" xfId="0" applyNumberFormat="1" applyFont="1"/>
    <xf numFmtId="2" fontId="2" fillId="0" borderId="0" xfId="0" applyNumberFormat="1" applyFont="1"/>
    <xf numFmtId="1" fontId="2" fillId="0" borderId="1" xfId="0" applyNumberFormat="1" applyFont="1" applyBorder="1"/>
    <xf numFmtId="0" fontId="6" fillId="21" borderId="0" xfId="0" applyFont="1" applyFill="1" applyBorder="1" applyAlignment="1">
      <alignment horizontal="left" vertical="top"/>
    </xf>
    <xf numFmtId="0" fontId="2" fillId="21" borderId="0" xfId="0" applyFont="1" applyFill="1" applyBorder="1"/>
    <xf numFmtId="9" fontId="2" fillId="0" borderId="0" xfId="0" applyNumberFormat="1" applyFont="1"/>
    <xf numFmtId="0" fontId="2" fillId="21" borderId="1" xfId="0" applyFont="1" applyFill="1" applyBorder="1" applyAlignment="1"/>
    <xf numFmtId="0" fontId="2" fillId="21" borderId="0" xfId="0" applyFont="1" applyFill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/>
    <xf numFmtId="44" fontId="2" fillId="5" borderId="6" xfId="1" applyFont="1" applyFill="1" applyBorder="1"/>
    <xf numFmtId="44" fontId="2" fillId="5" borderId="4" xfId="1" applyFont="1" applyFill="1" applyBorder="1"/>
    <xf numFmtId="44" fontId="2" fillId="0" borderId="0" xfId="1" applyFont="1"/>
    <xf numFmtId="2" fontId="2" fillId="0" borderId="0" xfId="0" applyNumberFormat="1" applyFont="1" applyBorder="1"/>
    <xf numFmtId="4" fontId="2" fillId="0" borderId="0" xfId="0" applyNumberFormat="1" applyFont="1" applyBorder="1"/>
    <xf numFmtId="9" fontId="2" fillId="0" borderId="0" xfId="2" applyFont="1" applyBorder="1"/>
    <xf numFmtId="9" fontId="2" fillId="0" borderId="0" xfId="0" applyNumberFormat="1" applyFont="1" applyBorder="1"/>
    <xf numFmtId="0" fontId="2" fillId="0" borderId="0" xfId="0" applyFont="1" applyBorder="1"/>
    <xf numFmtId="0" fontId="2" fillId="0" borderId="3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4" fillId="4" borderId="1" xfId="4" applyNumberFormat="1" applyFont="1" applyFill="1" applyBorder="1" applyProtection="1">
      <protection locked="0"/>
    </xf>
    <xf numFmtId="0" fontId="4" fillId="4" borderId="1" xfId="4" applyNumberFormat="1" applyFont="1" applyFill="1" applyBorder="1" applyProtection="1">
      <protection locked="0"/>
    </xf>
    <xf numFmtId="0" fontId="2" fillId="9" borderId="1" xfId="0" applyFont="1" applyFill="1" applyBorder="1"/>
    <xf numFmtId="0" fontId="6" fillId="10" borderId="2" xfId="0" applyFont="1" applyFill="1" applyBorder="1" applyAlignment="1">
      <alignment horizontal="left" vertical="top"/>
    </xf>
    <xf numFmtId="44" fontId="2" fillId="9" borderId="1" xfId="1" applyFont="1" applyFill="1" applyBorder="1" applyAlignment="1">
      <alignment horizontal="center" vertical="top"/>
    </xf>
    <xf numFmtId="44" fontId="2" fillId="9" borderId="1" xfId="1" applyFont="1" applyFill="1" applyBorder="1" applyAlignment="1">
      <alignment vertical="top"/>
    </xf>
    <xf numFmtId="44" fontId="2" fillId="9" borderId="1" xfId="1" applyFont="1" applyFill="1" applyBorder="1" applyAlignment="1">
      <alignment horizontal="center" vertical="center"/>
    </xf>
    <xf numFmtId="44" fontId="2" fillId="16" borderId="1" xfId="1" applyFont="1" applyFill="1" applyBorder="1" applyAlignment="1">
      <alignment horizontal="center" vertical="top"/>
    </xf>
    <xf numFmtId="44" fontId="2" fillId="15" borderId="1" xfId="1" applyFont="1" applyFill="1" applyBorder="1" applyAlignment="1">
      <alignment horizontal="center" vertical="top"/>
    </xf>
    <xf numFmtId="44" fontId="2" fillId="9" borderId="0" xfId="1" applyFont="1" applyFill="1" applyAlignment="1">
      <alignment vertical="top"/>
    </xf>
    <xf numFmtId="0" fontId="2" fillId="9" borderId="0" xfId="0" applyFont="1" applyFill="1" applyAlignment="1">
      <alignment vertical="top"/>
    </xf>
    <xf numFmtId="0" fontId="2" fillId="9" borderId="0" xfId="0" applyFont="1" applyFill="1"/>
    <xf numFmtId="44" fontId="2" fillId="15" borderId="2" xfId="1" applyFont="1" applyFill="1" applyBorder="1" applyAlignment="1">
      <alignment horizontal="center" vertical="top"/>
    </xf>
    <xf numFmtId="44" fontId="2" fillId="21" borderId="0" xfId="1" applyFont="1" applyFill="1" applyBorder="1" applyAlignment="1">
      <alignment horizontal="center" vertical="top"/>
    </xf>
    <xf numFmtId="44" fontId="2" fillId="9" borderId="6" xfId="1" applyFont="1" applyFill="1" applyBorder="1" applyAlignment="1">
      <alignment horizontal="center" vertical="top"/>
    </xf>
    <xf numFmtId="0" fontId="6" fillId="10" borderId="1" xfId="0" applyFont="1" applyFill="1" applyBorder="1" applyAlignment="1">
      <alignment horizontal="left" vertical="top"/>
    </xf>
    <xf numFmtId="0" fontId="6" fillId="10" borderId="1" xfId="0" applyFont="1" applyFill="1" applyBorder="1" applyAlignment="1">
      <alignment horizontal="left" vertical="center"/>
    </xf>
    <xf numFmtId="2" fontId="2" fillId="4" borderId="1" xfId="0" applyNumberFormat="1" applyFont="1" applyFill="1" applyBorder="1"/>
    <xf numFmtId="44" fontId="4" fillId="0" borderId="0" xfId="1" applyFont="1" applyAlignment="1">
      <alignment vertical="top" wrapText="1"/>
    </xf>
    <xf numFmtId="165" fontId="2" fillId="0" borderId="1" xfId="0" applyNumberFormat="1" applyFont="1" applyBorder="1"/>
    <xf numFmtId="9" fontId="4" fillId="0" borderId="0" xfId="2" applyFont="1" applyAlignment="1">
      <alignment vertical="top" wrapText="1"/>
    </xf>
    <xf numFmtId="0" fontId="2" fillId="0" borderId="2" xfId="0" applyFont="1" applyBorder="1"/>
    <xf numFmtId="44" fontId="2" fillId="0" borderId="1" xfId="2" applyNumberFormat="1" applyFont="1" applyBorder="1"/>
    <xf numFmtId="44" fontId="4" fillId="0" borderId="1" xfId="1" applyFont="1" applyBorder="1" applyAlignment="1">
      <alignment vertical="top" wrapText="1"/>
    </xf>
    <xf numFmtId="0" fontId="2" fillId="5" borderId="3" xfId="0" applyFont="1" applyFill="1" applyBorder="1"/>
    <xf numFmtId="0" fontId="2" fillId="5" borderId="8" xfId="0" applyFont="1" applyFill="1" applyBorder="1"/>
    <xf numFmtId="0" fontId="2" fillId="3" borderId="1" xfId="0" applyFont="1" applyFill="1" applyBorder="1"/>
    <xf numFmtId="8" fontId="2" fillId="3" borderId="1" xfId="0" applyNumberFormat="1" applyFont="1" applyFill="1" applyBorder="1"/>
    <xf numFmtId="8" fontId="2" fillId="0" borderId="0" xfId="0" applyNumberFormat="1" applyFont="1"/>
    <xf numFmtId="0" fontId="2" fillId="4" borderId="1" xfId="0" applyFont="1" applyFill="1" applyBorder="1"/>
    <xf numFmtId="44" fontId="7" fillId="4" borderId="1" xfId="1" applyFont="1" applyFill="1" applyBorder="1" applyAlignment="1">
      <alignment horizontal="right" vertical="center"/>
    </xf>
    <xf numFmtId="0" fontId="2" fillId="0" borderId="1" xfId="0" applyFont="1" applyFill="1" applyBorder="1"/>
    <xf numFmtId="44" fontId="8" fillId="0" borderId="1" xfId="1" applyFont="1" applyBorder="1"/>
    <xf numFmtId="9" fontId="2" fillId="0" borderId="10" xfId="2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NumberFormat="1" applyFont="1" applyBorder="1"/>
    <xf numFmtId="0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44" fontId="2" fillId="0" borderId="0" xfId="1" applyFont="1" applyFill="1" applyBorder="1"/>
    <xf numFmtId="2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1" applyNumberFormat="1" applyFont="1" applyFill="1" applyBorder="1"/>
    <xf numFmtId="14" fontId="2" fillId="0" borderId="1" xfId="0" applyNumberFormat="1" applyFont="1" applyBorder="1"/>
    <xf numFmtId="0" fontId="2" fillId="0" borderId="1" xfId="2" applyNumberFormat="1" applyFont="1" applyFill="1" applyBorder="1"/>
    <xf numFmtId="0" fontId="8" fillId="0" borderId="1" xfId="0" applyFont="1" applyBorder="1"/>
    <xf numFmtId="44" fontId="0" fillId="0" borderId="0" xfId="0" applyNumberFormat="1"/>
    <xf numFmtId="44" fontId="2" fillId="0" borderId="0" xfId="0" applyNumberFormat="1" applyFont="1" applyFill="1" applyBorder="1"/>
    <xf numFmtId="1" fontId="10" fillId="0" borderId="1" xfId="0" applyNumberFormat="1" applyFont="1" applyBorder="1"/>
    <xf numFmtId="1" fontId="10" fillId="0" borderId="0" xfId="0" applyNumberFormat="1" applyFont="1"/>
    <xf numFmtId="0" fontId="10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2" fillId="13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/>
    <xf numFmtId="0" fontId="10" fillId="0" borderId="0" xfId="0" applyFont="1" applyAlignment="1">
      <alignment horizontal="center"/>
    </xf>
  </cellXfs>
  <cellStyles count="5">
    <cellStyle name="Moneda" xfId="1" builtinId="4"/>
    <cellStyle name="Normal" xfId="0" builtinId="0"/>
    <cellStyle name="Normal 2" xfId="3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'CONSUMO M3'!$C$5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'CONSUMO M3'!$D$4:$O$4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'CONSUMO M3'!$D$5:$O$5</c:f>
              <c:numCache>
                <c:formatCode>General</c:formatCode>
                <c:ptCount val="12"/>
                <c:pt idx="0">
                  <c:v>51372</c:v>
                </c:pt>
                <c:pt idx="1">
                  <c:v>47575</c:v>
                </c:pt>
                <c:pt idx="2">
                  <c:v>45382</c:v>
                </c:pt>
                <c:pt idx="3">
                  <c:v>53014</c:v>
                </c:pt>
                <c:pt idx="4">
                  <c:v>47284</c:v>
                </c:pt>
                <c:pt idx="5">
                  <c:v>52758</c:v>
                </c:pt>
                <c:pt idx="6">
                  <c:v>48552</c:v>
                </c:pt>
                <c:pt idx="7">
                  <c:v>49922</c:v>
                </c:pt>
                <c:pt idx="8">
                  <c:v>45450</c:v>
                </c:pt>
                <c:pt idx="9">
                  <c:v>48290</c:v>
                </c:pt>
                <c:pt idx="10">
                  <c:v>50424</c:v>
                </c:pt>
                <c:pt idx="11">
                  <c:v>44301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'CONSUMO M3'!$C$6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'CONSUMO M3'!$D$4:$O$4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'CONSUMO M3'!$D$6:$O$6</c:f>
              <c:numCache>
                <c:formatCode>General</c:formatCode>
                <c:ptCount val="12"/>
                <c:pt idx="0">
                  <c:v>55193</c:v>
                </c:pt>
                <c:pt idx="1">
                  <c:v>53485</c:v>
                </c:pt>
                <c:pt idx="2">
                  <c:v>52950</c:v>
                </c:pt>
                <c:pt idx="3">
                  <c:v>57061</c:v>
                </c:pt>
                <c:pt idx="4">
                  <c:v>56096</c:v>
                </c:pt>
                <c:pt idx="5">
                  <c:v>61770</c:v>
                </c:pt>
                <c:pt idx="6">
                  <c:v>58615</c:v>
                </c:pt>
                <c:pt idx="7">
                  <c:v>52433</c:v>
                </c:pt>
                <c:pt idx="8">
                  <c:v>50411</c:v>
                </c:pt>
                <c:pt idx="9">
                  <c:v>48612</c:v>
                </c:pt>
                <c:pt idx="10">
                  <c:v>41402</c:v>
                </c:pt>
                <c:pt idx="11">
                  <c:v>45763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'CONSUMO M3'!$C$7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'CONSUMO M3'!$D$4:$O$4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'CONSUMO M3'!$D$7:$O$7</c:f>
              <c:numCache>
                <c:formatCode>General</c:formatCode>
                <c:ptCount val="12"/>
                <c:pt idx="0">
                  <c:v>49553</c:v>
                </c:pt>
                <c:pt idx="1">
                  <c:v>53271</c:v>
                </c:pt>
                <c:pt idx="2">
                  <c:v>57838</c:v>
                </c:pt>
                <c:pt idx="3">
                  <c:v>56373</c:v>
                </c:pt>
                <c:pt idx="4">
                  <c:v>56126</c:v>
                </c:pt>
                <c:pt idx="5">
                  <c:v>60555</c:v>
                </c:pt>
                <c:pt idx="6">
                  <c:v>55945</c:v>
                </c:pt>
                <c:pt idx="7">
                  <c:v>61867</c:v>
                </c:pt>
                <c:pt idx="8">
                  <c:v>54138</c:v>
                </c:pt>
                <c:pt idx="9">
                  <c:v>52221</c:v>
                </c:pt>
                <c:pt idx="10">
                  <c:v>52203</c:v>
                </c:pt>
                <c:pt idx="11">
                  <c:v>49957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'CONSUMO M3'!$C$8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'CONSUMO M3'!$D$4:$O$4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'CONSUMO M3'!$D$8:$O$8</c:f>
              <c:numCache>
                <c:formatCode>General</c:formatCode>
                <c:ptCount val="12"/>
                <c:pt idx="0">
                  <c:v>62714</c:v>
                </c:pt>
                <c:pt idx="1">
                  <c:v>54577</c:v>
                </c:pt>
                <c:pt idx="2">
                  <c:v>63015</c:v>
                </c:pt>
                <c:pt idx="3">
                  <c:v>63161</c:v>
                </c:pt>
                <c:pt idx="4">
                  <c:v>69269</c:v>
                </c:pt>
                <c:pt idx="5">
                  <c:v>75425</c:v>
                </c:pt>
                <c:pt idx="6">
                  <c:v>60451</c:v>
                </c:pt>
                <c:pt idx="7">
                  <c:v>58340</c:v>
                </c:pt>
                <c:pt idx="8">
                  <c:v>56496</c:v>
                </c:pt>
                <c:pt idx="9">
                  <c:v>61712</c:v>
                </c:pt>
                <c:pt idx="10">
                  <c:v>57428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465356200"/>
        <c:axId val="465351496"/>
      </c:lineChart>
      <c:catAx>
        <c:axId val="465356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CONSUMOS</a:t>
                </a:r>
                <a:r>
                  <a:rPr lang="es-MX" baseline="0"/>
                  <a:t> FACTURADOS</a:t>
                </a:r>
                <a:endParaRPr lang="es-MX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465351496"/>
        <c:crosses val="autoZero"/>
        <c:auto val="1"/>
        <c:lblAlgn val="ctr"/>
        <c:lblOffset val="100"/>
        <c:noMultiLvlLbl val="0"/>
      </c:catAx>
      <c:valAx>
        <c:axId val="46535149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5356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PERDIDA</a:t>
            </a:r>
            <a:r>
              <a:rPr lang="es-MX" sz="1000" baseline="0"/>
              <a:t> O GANANCIA</a:t>
            </a:r>
            <a:endParaRPr lang="es-MX" sz="10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PERDIDAS!$D$5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PERDIDAS!$E$5:$P$5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PERDIDAS!$E$6:$P$6</c:f>
              <c:numCache>
                <c:formatCode>_("$"* #,##0.00_);_("$"* \(#,##0.00\);_("$"* "-"??_);_(@_)</c:formatCode>
                <c:ptCount val="12"/>
                <c:pt idx="0">
                  <c:v>367779.16000000003</c:v>
                </c:pt>
                <c:pt idx="1">
                  <c:v>-13423.780000002116</c:v>
                </c:pt>
                <c:pt idx="2">
                  <c:v>8905.7699999978813</c:v>
                </c:pt>
                <c:pt idx="3">
                  <c:v>-57357</c:v>
                </c:pt>
                <c:pt idx="4">
                  <c:v>60263</c:v>
                </c:pt>
                <c:pt idx="5">
                  <c:v>-9765</c:v>
                </c:pt>
                <c:pt idx="6">
                  <c:v>8905.7699999978813</c:v>
                </c:pt>
                <c:pt idx="7">
                  <c:v>27064</c:v>
                </c:pt>
                <c:pt idx="8">
                  <c:v>-32973</c:v>
                </c:pt>
                <c:pt idx="9">
                  <c:v>91437</c:v>
                </c:pt>
                <c:pt idx="10">
                  <c:v>34318</c:v>
                </c:pt>
                <c:pt idx="11" formatCode="General">
                  <c:v>-153849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PERDIDAS!$D$14</c:f>
              <c:strCache>
                <c:ptCount val="1"/>
                <c:pt idx="0">
                  <c:v>2018</c:v>
                </c:pt>
              </c:strCache>
            </c:strRef>
          </c:tx>
          <c:val>
            <c:numRef>
              <c:f>PERDIDAS!$E$15:$P$15</c:f>
              <c:numCache>
                <c:formatCode>_("$"* #,##0.00_);_("$"* \(#,##0.00\);_("$"* "-"??_);_(@_)</c:formatCode>
                <c:ptCount val="12"/>
                <c:pt idx="0">
                  <c:v>80296</c:v>
                </c:pt>
                <c:pt idx="1">
                  <c:v>-4893.5625</c:v>
                </c:pt>
                <c:pt idx="2">
                  <c:v>-2133.1187500000106</c:v>
                </c:pt>
                <c:pt idx="3">
                  <c:v>48602</c:v>
                </c:pt>
                <c:pt idx="4">
                  <c:v>18220</c:v>
                </c:pt>
                <c:pt idx="5">
                  <c:v>35214</c:v>
                </c:pt>
                <c:pt idx="6">
                  <c:v>43347</c:v>
                </c:pt>
                <c:pt idx="7">
                  <c:v>-17838</c:v>
                </c:pt>
                <c:pt idx="8">
                  <c:v>-30169</c:v>
                </c:pt>
                <c:pt idx="9">
                  <c:v>22060</c:v>
                </c:pt>
                <c:pt idx="10">
                  <c:v>46251</c:v>
                </c:pt>
                <c:pt idx="11">
                  <c:v>-69280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PERDIDAS!$D$22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PERDIDAS!$E$23:$P$23</c:f>
              <c:numCache>
                <c:formatCode>_("$"* #,##0.00_);_("$"* \(#,##0.00\);_("$"* "-"??_);_(@_)</c:formatCode>
                <c:ptCount val="12"/>
                <c:pt idx="0">
                  <c:v>50187.28125</c:v>
                </c:pt>
                <c:pt idx="1">
                  <c:v>-7462.6875</c:v>
                </c:pt>
                <c:pt idx="2">
                  <c:v>-17395</c:v>
                </c:pt>
                <c:pt idx="3">
                  <c:v>3924</c:v>
                </c:pt>
                <c:pt idx="4">
                  <c:v>-510</c:v>
                </c:pt>
                <c:pt idx="5">
                  <c:v>-2255.78125</c:v>
                </c:pt>
                <c:pt idx="6">
                  <c:v>2451.3125</c:v>
                </c:pt>
                <c:pt idx="7">
                  <c:v>-28899</c:v>
                </c:pt>
                <c:pt idx="8">
                  <c:v>-4650.125</c:v>
                </c:pt>
                <c:pt idx="9">
                  <c:v>-493847.33</c:v>
                </c:pt>
                <c:pt idx="10">
                  <c:v>-247218.62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46328"/>
        <c:axId val="464947504"/>
      </c:lineChart>
      <c:catAx>
        <c:axId val="464946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4947504"/>
        <c:crosses val="autoZero"/>
        <c:auto val="1"/>
        <c:lblAlgn val="ctr"/>
        <c:lblOffset val="100"/>
        <c:noMultiLvlLbl val="0"/>
      </c:catAx>
      <c:valAx>
        <c:axId val="46494750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464946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50"/>
              <a:t>RECIBO FACTURADO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PERDIDAS!$D$5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PERDIDAS!$E$5:$P$5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PERDIDAS!$E$7:$P$7</c:f>
              <c:numCache>
                <c:formatCode>_("$"* #,##0.00_);_("$"* \(#,##0.00\);_("$"* "-"??_);_(@_)</c:formatCode>
                <c:ptCount val="12"/>
                <c:pt idx="0">
                  <c:v>114.26321379218675</c:v>
                </c:pt>
                <c:pt idx="1">
                  <c:v>117.62792029995396</c:v>
                </c:pt>
                <c:pt idx="2">
                  <c:v>117.62792029995396</c:v>
                </c:pt>
                <c:pt idx="3">
                  <c:v>123.25938705683976</c:v>
                </c:pt>
                <c:pt idx="4">
                  <c:v>129.0799372447656</c:v>
                </c:pt>
                <c:pt idx="5">
                  <c:v>134.0674751144652</c:v>
                </c:pt>
                <c:pt idx="6">
                  <c:v>117.62792029995396</c:v>
                </c:pt>
                <c:pt idx="7">
                  <c:v>137.9485992138714</c:v>
                </c:pt>
                <c:pt idx="8">
                  <c:v>173.11778749549546</c:v>
                </c:pt>
                <c:pt idx="9">
                  <c:v>126.65145794882365</c:v>
                </c:pt>
                <c:pt idx="10">
                  <c:v>135.42730993058345</c:v>
                </c:pt>
                <c:pt idx="11" formatCode="0.00">
                  <c:v>139.84944768737316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945152"/>
        <c:axId val="463601656"/>
      </c:barChart>
      <c:lineChart>
        <c:grouping val="standard"/>
        <c:varyColors val="0"/>
        <c:ser>
          <c:idx val="1"/>
          <c:order val="1"/>
          <c:tx>
            <c:strRef>
              <c:f>PERDIDAS!$D$14</c:f>
              <c:strCache>
                <c:ptCount val="1"/>
                <c:pt idx="0">
                  <c:v>2018</c:v>
                </c:pt>
              </c:strCache>
            </c:strRef>
          </c:tx>
          <c:val>
            <c:numRef>
              <c:f>PERDIDAS!$E$16:$P$16</c:f>
              <c:numCache>
                <c:formatCode>_("$"* #,##0.00_);_("$"* \(#,##0.00\);_("$"* "-"??_);_(@_)</c:formatCode>
                <c:ptCount val="12"/>
                <c:pt idx="0">
                  <c:v>126.847255424452</c:v>
                </c:pt>
                <c:pt idx="1">
                  <c:v>111.57161139244153</c:v>
                </c:pt>
                <c:pt idx="2">
                  <c:v>136.9962905179467</c:v>
                </c:pt>
                <c:pt idx="3">
                  <c:v>142.25232252730694</c:v>
                </c:pt>
                <c:pt idx="4">
                  <c:v>144.48101517791753</c:v>
                </c:pt>
                <c:pt idx="5">
                  <c:v>134.0674751144652</c:v>
                </c:pt>
                <c:pt idx="6">
                  <c:v>118.05415941225021</c:v>
                </c:pt>
                <c:pt idx="7">
                  <c:v>156.65544445428128</c:v>
                </c:pt>
                <c:pt idx="8">
                  <c:v>154.89271865460782</c:v>
                </c:pt>
                <c:pt idx="9">
                  <c:v>141.83776938512634</c:v>
                </c:pt>
                <c:pt idx="10">
                  <c:v>143.84602508620779</c:v>
                </c:pt>
                <c:pt idx="11">
                  <c:v>152.61699954331914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PERDIDAS!$D$22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PERDIDAS!$E$24:$P$24</c:f>
              <c:numCache>
                <c:formatCode>_("$"* #,##0.00_);_("$"* \(#,##0.00\);_("$"* "-"??_);_(@_)</c:formatCode>
                <c:ptCount val="12"/>
                <c:pt idx="0">
                  <c:v>152.77129363519322</c:v>
                </c:pt>
                <c:pt idx="1">
                  <c:v>182.86327880780451</c:v>
                </c:pt>
                <c:pt idx="2">
                  <c:v>177.60478740974614</c:v>
                </c:pt>
                <c:pt idx="3">
                  <c:v>181.6366590328133</c:v>
                </c:pt>
                <c:pt idx="4">
                  <c:v>198.01973516220542</c:v>
                </c:pt>
                <c:pt idx="5">
                  <c:v>199.16092976741916</c:v>
                </c:pt>
                <c:pt idx="6">
                  <c:v>179.13476641716818</c:v>
                </c:pt>
                <c:pt idx="7">
                  <c:v>173.51562666693229</c:v>
                </c:pt>
                <c:pt idx="8">
                  <c:v>175.63059014507724</c:v>
                </c:pt>
                <c:pt idx="9">
                  <c:v>182.8567765290793</c:v>
                </c:pt>
                <c:pt idx="10">
                  <c:v>171.77652040185788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45152"/>
        <c:axId val="463601656"/>
      </c:lineChart>
      <c:catAx>
        <c:axId val="464945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3601656"/>
        <c:crosses val="autoZero"/>
        <c:auto val="1"/>
        <c:lblAlgn val="ctr"/>
        <c:lblOffset val="100"/>
        <c:noMultiLvlLbl val="0"/>
      </c:catAx>
      <c:valAx>
        <c:axId val="46360165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464945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RECIBO INGRESADO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PERDIDAS!$D$5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PERDIDAS!$E$5:$P$5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PERDIDAS!$E$8:$P$8</c:f>
              <c:numCache>
                <c:formatCode>_("$"* #,##0.00_);_("$"* \(#,##0.00\);_("$"* "-"??_);_(@_)</c:formatCode>
                <c:ptCount val="12"/>
                <c:pt idx="0">
                  <c:v>163.43375554326977</c:v>
                </c:pt>
                <c:pt idx="1">
                  <c:v>110.75460817700775</c:v>
                </c:pt>
                <c:pt idx="2">
                  <c:v>121.58035022477468</c:v>
                </c:pt>
                <c:pt idx="3">
                  <c:v>114.49874643527259</c:v>
                </c:pt>
                <c:pt idx="4">
                  <c:v>141.84440338744625</c:v>
                </c:pt>
                <c:pt idx="5">
                  <c:v>133.52463555933969</c:v>
                </c:pt>
                <c:pt idx="6">
                  <c:v>121.58035022477468</c:v>
                </c:pt>
                <c:pt idx="7">
                  <c:v>143.37679331816128</c:v>
                </c:pt>
                <c:pt idx="8">
                  <c:v>133.37952633588779</c:v>
                </c:pt>
                <c:pt idx="9">
                  <c:v>170.67894783203113</c:v>
                </c:pt>
                <c:pt idx="10">
                  <c:v>158.37756657657297</c:v>
                </c:pt>
                <c:pt idx="11" formatCode="0.00">
                  <c:v>160.08984131100067</c:v>
                </c:pt>
              </c:numCache>
            </c:numRef>
          </c:val>
        </c:ser>
        <c:ser>
          <c:idx val="1"/>
          <c:order val="1"/>
          <c:tx>
            <c:strRef>
              <c:f>PERDIDAS!$D$14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PERDIDAS!$E$17:$P$17</c:f>
              <c:numCache>
                <c:formatCode>_("$"* #,##0.00_);_("$"* \(#,##0.00\);_("$"* "-"??_);_(@_)</c:formatCode>
                <c:ptCount val="12"/>
                <c:pt idx="0">
                  <c:v>177.57804013368704</c:v>
                </c:pt>
                <c:pt idx="1">
                  <c:v>103.02779100051265</c:v>
                </c:pt>
                <c:pt idx="2">
                  <c:v>171.29115419887393</c:v>
                </c:pt>
                <c:pt idx="3">
                  <c:v>206.69284142411107</c:v>
                </c:pt>
                <c:pt idx="4">
                  <c:v>170.63564705700966</c:v>
                </c:pt>
                <c:pt idx="5">
                  <c:v>138.22960927546467</c:v>
                </c:pt>
                <c:pt idx="6">
                  <c:v>129.78482035038152</c:v>
                </c:pt>
                <c:pt idx="7">
                  <c:v>157.77939751369601</c:v>
                </c:pt>
                <c:pt idx="8">
                  <c:v>197.61091291769552</c:v>
                </c:pt>
                <c:pt idx="9">
                  <c:v>148.22947290372989</c:v>
                </c:pt>
                <c:pt idx="10">
                  <c:v>211.84791680090194</c:v>
                </c:pt>
                <c:pt idx="11">
                  <c:v>177.05627079147345</c:v>
                </c:pt>
              </c:numCache>
            </c:numRef>
          </c:val>
        </c:ser>
        <c:ser>
          <c:idx val="2"/>
          <c:order val="2"/>
          <c:tx>
            <c:strRef>
              <c:f>PERDIDAS!$D$22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PERDIDAS!$E$25:$P$25</c:f>
              <c:numCache>
                <c:formatCode>_("$"* #,##0.00_);_("$"* \(#,##0.00\);_("$"* "-"??_);_(@_)</c:formatCode>
                <c:ptCount val="12"/>
                <c:pt idx="0">
                  <c:v>177.05627079147345</c:v>
                </c:pt>
                <c:pt idx="1">
                  <c:v>159.75895078365974</c:v>
                </c:pt>
                <c:pt idx="2">
                  <c:v>198.42849848025438</c:v>
                </c:pt>
                <c:pt idx="3">
                  <c:v>209.64388798211081</c:v>
                </c:pt>
                <c:pt idx="4">
                  <c:v>221.50619478396138</c:v>
                </c:pt>
                <c:pt idx="5">
                  <c:v>222.09594297332598</c:v>
                </c:pt>
                <c:pt idx="6">
                  <c:v>218.57920451156582</c:v>
                </c:pt>
                <c:pt idx="7">
                  <c:v>198.27780666299728</c:v>
                </c:pt>
                <c:pt idx="8">
                  <c:v>199.26919569631224</c:v>
                </c:pt>
                <c:pt idx="9">
                  <c:v>119.66797924000556</c:v>
                </c:pt>
                <c:pt idx="10">
                  <c:v>182.53672679553083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63598520"/>
        <c:axId val="463599304"/>
      </c:barChart>
      <c:catAx>
        <c:axId val="463598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3599304"/>
        <c:crosses val="autoZero"/>
        <c:auto val="1"/>
        <c:lblAlgn val="ctr"/>
        <c:lblOffset val="100"/>
        <c:noMultiLvlLbl val="0"/>
      </c:catAx>
      <c:valAx>
        <c:axId val="46359930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463598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50"/>
              <a:t>INGRESO M3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PERDIDAS!$D$5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PERDIDAS!$E$5:$P$5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PERDIDAS!$E$10:$P$10</c:f>
              <c:numCache>
                <c:formatCode>_("$"* #,##0.00_);_("$"* \(#,##0.00\);_("$"* "-"??_);_(@_)</c:formatCode>
                <c:ptCount val="12"/>
                <c:pt idx="0">
                  <c:v>16.396208785461383</c:v>
                </c:pt>
                <c:pt idx="1">
                  <c:v>11.926449710781332</c:v>
                </c:pt>
                <c:pt idx="2">
                  <c:v>12.169614145464543</c:v>
                </c:pt>
                <c:pt idx="3">
                  <c:v>10.324098958863472</c:v>
                </c:pt>
                <c:pt idx="4">
                  <c:v>12.25823811140093</c:v>
                </c:pt>
                <c:pt idx="5">
                  <c:v>11.207421926434423</c:v>
                </c:pt>
                <c:pt idx="6">
                  <c:v>12.169614145464543</c:v>
                </c:pt>
                <c:pt idx="7">
                  <c:v>12.144679716333016</c:v>
                </c:pt>
                <c:pt idx="8">
                  <c:v>12.889477506928895</c:v>
                </c:pt>
                <c:pt idx="9">
                  <c:v>23.900152247945048</c:v>
                </c:pt>
                <c:pt idx="10">
                  <c:v>14.383124594299796</c:v>
                </c:pt>
                <c:pt idx="11" formatCode="0.00">
                  <c:v>8.7269408008901213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PERDIDAS!$D$14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PERDIDAS!$E$5:$P$5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PERDIDAS!$E$19:$P$19</c:f>
              <c:numCache>
                <c:formatCode>_("$"* #,##0.00_);_("$"* \(#,##0.00\);_("$"* "-"??_);_(@_)</c:formatCode>
                <c:ptCount val="12"/>
                <c:pt idx="0">
                  <c:v>13.721223892105662</c:v>
                </c:pt>
                <c:pt idx="1">
                  <c:v>9.0195002649256484</c:v>
                </c:pt>
                <c:pt idx="2">
                  <c:v>10.111173543979808</c:v>
                </c:pt>
                <c:pt idx="3">
                  <c:v>12.179924796373975</c:v>
                </c:pt>
                <c:pt idx="4">
                  <c:v>12.798070862690395</c:v>
                </c:pt>
                <c:pt idx="5">
                  <c:v>13.521135824519808</c:v>
                </c:pt>
                <c:pt idx="6">
                  <c:v>14.162738578453327</c:v>
                </c:pt>
                <c:pt idx="7">
                  <c:v>12.824516314526504</c:v>
                </c:pt>
                <c:pt idx="8">
                  <c:v>13.53119213481609</c:v>
                </c:pt>
                <c:pt idx="9">
                  <c:v>13.629797642977547</c:v>
                </c:pt>
                <c:pt idx="10">
                  <c:v>12.762449902179243</c:v>
                </c:pt>
                <c:pt idx="11">
                  <c:v>12.264201575393574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PERDIDAS!$D$22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PERDIDAS!$E$27:$P$27</c:f>
              <c:numCache>
                <c:formatCode>_("$"* #,##0.00_);_("$"* \(#,##0.00\);_("$"* "-"??_);_(@_)</c:formatCode>
                <c:ptCount val="12"/>
                <c:pt idx="0">
                  <c:v>14.910253414315056</c:v>
                </c:pt>
                <c:pt idx="1">
                  <c:v>11.136586020495336</c:v>
                </c:pt>
                <c:pt idx="2">
                  <c:v>13.051498831474737</c:v>
                </c:pt>
                <c:pt idx="3">
                  <c:v>12.59</c:v>
                </c:pt>
                <c:pt idx="4">
                  <c:v>12.400401367137551</c:v>
                </c:pt>
                <c:pt idx="5">
                  <c:v>11.313021381383985</c:v>
                </c:pt>
                <c:pt idx="6">
                  <c:v>14.891531418549539</c:v>
                </c:pt>
                <c:pt idx="7">
                  <c:v>13.175617057588498</c:v>
                </c:pt>
                <c:pt idx="8">
                  <c:v>12.781152814047655</c:v>
                </c:pt>
                <c:pt idx="9">
                  <c:v>6.3365302087353141</c:v>
                </c:pt>
                <c:pt idx="10">
                  <c:v>12.654128342488157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602048"/>
        <c:axId val="463598912"/>
      </c:lineChart>
      <c:catAx>
        <c:axId val="463602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3598912"/>
        <c:crosses val="autoZero"/>
        <c:auto val="1"/>
        <c:lblAlgn val="ctr"/>
        <c:lblOffset val="100"/>
        <c:noMultiLvlLbl val="0"/>
      </c:catAx>
      <c:valAx>
        <c:axId val="46359891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463602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M3 FACTURADO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PERDIDAS!$D$5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PERDIDAS!$E$5:$P$5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PERDIDAS!$E$9:$P$9</c:f>
              <c:numCache>
                <c:formatCode>_("$"* #,##0.00_);_("$"* \(#,##0.00\);_("$"* "-"??_);_(@_)</c:formatCode>
                <c:ptCount val="12"/>
                <c:pt idx="0">
                  <c:v>10.975517090725175</c:v>
                </c:pt>
                <c:pt idx="1">
                  <c:v>11.228635864322374</c:v>
                </c:pt>
                <c:pt idx="2">
                  <c:v>11.83332636390633</c:v>
                </c:pt>
                <c:pt idx="3">
                  <c:v>11.012586157687387</c:v>
                </c:pt>
                <c:pt idx="4">
                  <c:v>11.18959192673266</c:v>
                </c:pt>
                <c:pt idx="5">
                  <c:v>11.194177983417267</c:v>
                </c:pt>
                <c:pt idx="6">
                  <c:v>11.83332636390633</c:v>
                </c:pt>
                <c:pt idx="7">
                  <c:v>12.739181233921592</c:v>
                </c:pt>
                <c:pt idx="8">
                  <c:v>12.882032414730432</c:v>
                </c:pt>
                <c:pt idx="9">
                  <c:v>16.087848644519337</c:v>
                </c:pt>
                <c:pt idx="10">
                  <c:v>14.01853549065175</c:v>
                </c:pt>
                <c:pt idx="11" formatCode="0.00">
                  <c:v>13.816462576004994</c:v>
                </c:pt>
              </c:numCache>
            </c:numRef>
          </c:val>
        </c:ser>
        <c:ser>
          <c:idx val="1"/>
          <c:order val="1"/>
          <c:tx>
            <c:strRef>
              <c:f>PERDIDAS!$D$14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PERDIDAS!$E$5:$P$5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PERDIDAS!$E$18:$P$18</c:f>
              <c:numCache>
                <c:formatCode>_("$"* #,##0.00_);_("$"* \(#,##0.00\);_("$"* "-"??_);_(@_)</c:formatCode>
                <c:ptCount val="12"/>
                <c:pt idx="0">
                  <c:v>11.722137425108048</c:v>
                </c:pt>
                <c:pt idx="1">
                  <c:v>11.379539828096986</c:v>
                </c:pt>
                <c:pt idx="2">
                  <c:v>12.532802014377522</c:v>
                </c:pt>
                <c:pt idx="3">
                  <c:v>13.273115190145209</c:v>
                </c:pt>
                <c:pt idx="4">
                  <c:v>12.064030560023333</c:v>
                </c:pt>
                <c:pt idx="5">
                  <c:v>12.951390518783196</c:v>
                </c:pt>
                <c:pt idx="6">
                  <c:v>13.119355703395446</c:v>
                </c:pt>
                <c:pt idx="7">
                  <c:v>13.16293996158457</c:v>
                </c:pt>
                <c:pt idx="8">
                  <c:v>14.969104680058006</c:v>
                </c:pt>
                <c:pt idx="9">
                  <c:v>13.00920367742696</c:v>
                </c:pt>
                <c:pt idx="10">
                  <c:v>16.209554736614791</c:v>
                </c:pt>
                <c:pt idx="11">
                  <c:v>14.923892947674013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63602440"/>
        <c:axId val="463600872"/>
      </c:barChart>
      <c:lineChart>
        <c:grouping val="standard"/>
        <c:varyColors val="0"/>
        <c:ser>
          <c:idx val="2"/>
          <c:order val="2"/>
          <c:tx>
            <c:strRef>
              <c:f>PERDIDAS!$D$22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PERDIDAS!$E$26:$P$26</c:f>
              <c:numCache>
                <c:formatCode>_("$"* #,##0.00_);_("$"* \(#,##0.00\);_("$"* "-"??_);_(@_)</c:formatCode>
                <c:ptCount val="12"/>
                <c:pt idx="0">
                  <c:v>12.203063501507135</c:v>
                </c:pt>
                <c:pt idx="1">
                  <c:v>14.770918315517957</c:v>
                </c:pt>
                <c:pt idx="2">
                  <c:v>13.024306314877386</c:v>
                </c:pt>
                <c:pt idx="3">
                  <c:v>12.786594472093979</c:v>
                </c:pt>
                <c:pt idx="4">
                  <c:v>12.440916727791436</c:v>
                </c:pt>
                <c:pt idx="5">
                  <c:v>12.271927924503666</c:v>
                </c:pt>
                <c:pt idx="6">
                  <c:v>13.616989767685288</c:v>
                </c:pt>
                <c:pt idx="7">
                  <c:v>13.684490074268423</c:v>
                </c:pt>
                <c:pt idx="8">
                  <c:v>14.239139956550375</c:v>
                </c:pt>
                <c:pt idx="9">
                  <c:v>13.938280495935611</c:v>
                </c:pt>
                <c:pt idx="10">
                  <c:v>14.145357545253752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602440"/>
        <c:axId val="463600872"/>
      </c:lineChart>
      <c:catAx>
        <c:axId val="463602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3600872"/>
        <c:crosses val="autoZero"/>
        <c:auto val="1"/>
        <c:lblAlgn val="ctr"/>
        <c:lblOffset val="100"/>
        <c:noMultiLvlLbl val="0"/>
      </c:catAx>
      <c:valAx>
        <c:axId val="46360087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463602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50"/>
              <a:t>LITRO/CONSUMIDO/DIA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LTHADI!$B$10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LTHADI!$D$4:$O$4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LTHADI!$D$10:$O$10</c:f>
              <c:numCache>
                <c:formatCode>0.00</c:formatCode>
                <c:ptCount val="12"/>
                <c:pt idx="0">
                  <c:v>64.150000000000006</c:v>
                </c:pt>
                <c:pt idx="1">
                  <c:v>90.959428330823329</c:v>
                </c:pt>
                <c:pt idx="2">
                  <c:v>89.553540296033802</c:v>
                </c:pt>
                <c:pt idx="3">
                  <c:v>96.437146522701781</c:v>
                </c:pt>
                <c:pt idx="4">
                  <c:v>97.889372652828882</c:v>
                </c:pt>
                <c:pt idx="5">
                  <c:v>104.77216514493614</c:v>
                </c:pt>
                <c:pt idx="6">
                  <c:v>73.811833288680475</c:v>
                </c:pt>
                <c:pt idx="7">
                  <c:v>91.114028713879776</c:v>
                </c:pt>
                <c:pt idx="8">
                  <c:v>79.270893463127877</c:v>
                </c:pt>
                <c:pt idx="9">
                  <c:v>84.539289827005149</c:v>
                </c:pt>
                <c:pt idx="10">
                  <c:v>91.830098582111304</c:v>
                </c:pt>
                <c:pt idx="11">
                  <c:v>79.05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603616"/>
        <c:axId val="463596560"/>
      </c:barChart>
      <c:lineChart>
        <c:grouping val="standard"/>
        <c:varyColors val="0"/>
        <c:ser>
          <c:idx val="0"/>
          <c:order val="0"/>
          <c:tx>
            <c:strRef>
              <c:f>LTHADI!$B$5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LTHADI!$D$4:$O$4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LTHADI!$D$5:$O$5</c:f>
              <c:numCache>
                <c:formatCode>0.00</c:formatCode>
                <c:ptCount val="12"/>
                <c:pt idx="0">
                  <c:v>85.841204575044699</c:v>
                </c:pt>
                <c:pt idx="1">
                  <c:v>95.038476493799479</c:v>
                </c:pt>
                <c:pt idx="2">
                  <c:v>81.634063446079708</c:v>
                </c:pt>
                <c:pt idx="3">
                  <c:v>97.03659281735527</c:v>
                </c:pt>
                <c:pt idx="4">
                  <c:v>95.483599856674985</c:v>
                </c:pt>
                <c:pt idx="5">
                  <c:v>101.65894473403749</c:v>
                </c:pt>
                <c:pt idx="6">
                  <c:v>91.141061586542406</c:v>
                </c:pt>
                <c:pt idx="7">
                  <c:v>81.678077623554913</c:v>
                </c:pt>
                <c:pt idx="8">
                  <c:v>76.713767867543098</c:v>
                </c:pt>
                <c:pt idx="9">
                  <c:v>64.0803066680227</c:v>
                </c:pt>
                <c:pt idx="10">
                  <c:v>77.706804231921069</c:v>
                </c:pt>
                <c:pt idx="11">
                  <c:v>83.457225686915777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LTHADI!$B$15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LTHADI!$D$15:$O$15</c:f>
              <c:numCache>
                <c:formatCode>0.00</c:formatCode>
                <c:ptCount val="12"/>
                <c:pt idx="0">
                  <c:v>78.602620637353525</c:v>
                </c:pt>
                <c:pt idx="1">
                  <c:v>105.37915091352336</c:v>
                </c:pt>
                <c:pt idx="2">
                  <c:v>103.27264434077914</c:v>
                </c:pt>
                <c:pt idx="3">
                  <c:v>111.56</c:v>
                </c:pt>
                <c:pt idx="4">
                  <c:v>121.91775825555568</c:v>
                </c:pt>
                <c:pt idx="5">
                  <c:v>121.47</c:v>
                </c:pt>
                <c:pt idx="6">
                  <c:v>100.05814025240393</c:v>
                </c:pt>
                <c:pt idx="7">
                  <c:v>96.029506184795068</c:v>
                </c:pt>
                <c:pt idx="8">
                  <c:v>103.35169038182426</c:v>
                </c:pt>
                <c:pt idx="9">
                  <c:v>103.21</c:v>
                </c:pt>
                <c:pt idx="10">
                  <c:v>96.49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603616"/>
        <c:axId val="463596560"/>
      </c:lineChart>
      <c:catAx>
        <c:axId val="463603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3596560"/>
        <c:crosses val="autoZero"/>
        <c:auto val="1"/>
        <c:lblAlgn val="ctr"/>
        <c:lblOffset val="100"/>
        <c:noMultiLvlLbl val="0"/>
      </c:catAx>
      <c:valAx>
        <c:axId val="463596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LITROS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63603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50"/>
              <a:t>LITRO/HABITANTE /DIA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LTHADI!$B$6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LTHADI!$D$9:$O$9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LTHADI!$D$6:$O$6</c:f>
              <c:numCache>
                <c:formatCode>0.00</c:formatCode>
                <c:ptCount val="12"/>
                <c:pt idx="0">
                  <c:v>144.09422046025074</c:v>
                </c:pt>
                <c:pt idx="1">
                  <c:v>127.63929519475595</c:v>
                </c:pt>
                <c:pt idx="2">
                  <c:v>123.73236938358595</c:v>
                </c:pt>
                <c:pt idx="3">
                  <c:v>134.04120844393884</c:v>
                </c:pt>
                <c:pt idx="4">
                  <c:v>139.85942284707741</c:v>
                </c:pt>
                <c:pt idx="5">
                  <c:v>142.36032107192503</c:v>
                </c:pt>
                <c:pt idx="6">
                  <c:v>124.70029481204203</c:v>
                </c:pt>
                <c:pt idx="7">
                  <c:v>128</c:v>
                </c:pt>
                <c:pt idx="8">
                  <c:v>108</c:v>
                </c:pt>
                <c:pt idx="9">
                  <c:v>112</c:v>
                </c:pt>
                <c:pt idx="10">
                  <c:v>121</c:v>
                </c:pt>
                <c:pt idx="11">
                  <c:v>120.62369261257294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97736"/>
        <c:axId val="463601264"/>
      </c:barChart>
      <c:lineChart>
        <c:grouping val="standard"/>
        <c:varyColors val="0"/>
        <c:ser>
          <c:idx val="1"/>
          <c:order val="1"/>
          <c:tx>
            <c:strRef>
              <c:f>LTHADI!$B$11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LTHADI!$D$9:$O$9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LTHADI!$D$11:$O$11</c:f>
              <c:numCache>
                <c:formatCode>0.00</c:formatCode>
                <c:ptCount val="12"/>
                <c:pt idx="0">
                  <c:v>140.60544458832806</c:v>
                </c:pt>
                <c:pt idx="1">
                  <c:v>140.36619357319066</c:v>
                </c:pt>
                <c:pt idx="2">
                  <c:v>162.899970339075</c:v>
                </c:pt>
                <c:pt idx="3">
                  <c:v>168.73925394333557</c:v>
                </c:pt>
                <c:pt idx="4">
                  <c:v>157.07</c:v>
                </c:pt>
                <c:pt idx="5">
                  <c:v>113.98500576701268</c:v>
                </c:pt>
                <c:pt idx="6">
                  <c:v>123.37896483502458</c:v>
                </c:pt>
                <c:pt idx="7">
                  <c:v>120.31735293213198</c:v>
                </c:pt>
                <c:pt idx="8">
                  <c:v>104.40961636178862</c:v>
                </c:pt>
                <c:pt idx="9">
                  <c:v>108.3921227314239</c:v>
                </c:pt>
                <c:pt idx="10">
                  <c:v>112.01</c:v>
                </c:pt>
                <c:pt idx="11">
                  <c:v>111.75421203052613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LTHADI!$B$16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LTHADI!$D$16:$O$16</c:f>
              <c:numCache>
                <c:formatCode>0.00</c:formatCode>
                <c:ptCount val="12"/>
                <c:pt idx="0">
                  <c:v>112.05217442166526</c:v>
                </c:pt>
                <c:pt idx="1">
                  <c:v>118.88613285791799</c:v>
                </c:pt>
                <c:pt idx="2">
                  <c:v>136.28285037361033</c:v>
                </c:pt>
                <c:pt idx="3">
                  <c:v>142.59995183044319</c:v>
                </c:pt>
                <c:pt idx="4">
                  <c:v>156.91345807844547</c:v>
                </c:pt>
                <c:pt idx="5">
                  <c:v>133.36028266858304</c:v>
                </c:pt>
                <c:pt idx="6">
                  <c:v>126.68321520534573</c:v>
                </c:pt>
                <c:pt idx="7">
                  <c:v>128.60502770480267</c:v>
                </c:pt>
                <c:pt idx="8">
                  <c:v>130.22017363286494</c:v>
                </c:pt>
                <c:pt idx="9">
                  <c:v>123.749528327702</c:v>
                </c:pt>
                <c:pt idx="10">
                  <c:v>122.32684755444484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97736"/>
        <c:axId val="463601264"/>
      </c:lineChart>
      <c:catAx>
        <c:axId val="463597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3601264"/>
        <c:crosses val="autoZero"/>
        <c:auto val="1"/>
        <c:lblAlgn val="ctr"/>
        <c:lblOffset val="100"/>
        <c:noMultiLvlLbl val="0"/>
      </c:catAx>
      <c:valAx>
        <c:axId val="46360126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463597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50"/>
              <a:t>INGRESOS</a:t>
            </a:r>
            <a:r>
              <a:rPr lang="es-MX" sz="1050" baseline="0"/>
              <a:t> TOTALES</a:t>
            </a:r>
            <a:endParaRPr lang="es-MX" sz="105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GASTOS!$G$2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GASTOS!$C$42:$N$42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GASTOS!$C$5:$M$5</c:f>
              <c:numCache>
                <c:formatCode>_("$"* #,##0.00_);_("$"* \(#,##0.00\);_("$"* "-"??_);_(@_)</c:formatCode>
                <c:ptCount val="11"/>
                <c:pt idx="0">
                  <c:v>1868910.52</c:v>
                </c:pt>
                <c:pt idx="1">
                  <c:v>793462.5</c:v>
                </c:pt>
                <c:pt idx="2">
                  <c:v>763430.21</c:v>
                </c:pt>
                <c:pt idx="3">
                  <c:v>863513.78</c:v>
                </c:pt>
                <c:pt idx="4">
                  <c:v>1006672</c:v>
                </c:pt>
                <c:pt idx="5">
                  <c:v>812598.52</c:v>
                </c:pt>
                <c:pt idx="6" formatCode="General">
                  <c:v>911772.59</c:v>
                </c:pt>
                <c:pt idx="7" formatCode="General">
                  <c:v>726846</c:v>
                </c:pt>
                <c:pt idx="8" formatCode="General">
                  <c:v>911772.59</c:v>
                </c:pt>
                <c:pt idx="9" formatCode="General">
                  <c:v>726846</c:v>
                </c:pt>
                <c:pt idx="10" formatCode="General">
                  <c:v>861396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GASTOS!$G$41</c:f>
              <c:strCache>
                <c:ptCount val="1"/>
                <c:pt idx="0">
                  <c:v>2018</c:v>
                </c:pt>
              </c:strCache>
            </c:strRef>
          </c:tx>
          <c:val>
            <c:numRef>
              <c:f>GASTOS!$C$43:$N$43</c:f>
              <c:numCache>
                <c:formatCode>General</c:formatCode>
                <c:ptCount val="12"/>
                <c:pt idx="0">
                  <c:v>1289832.06</c:v>
                </c:pt>
                <c:pt idx="1">
                  <c:v>843620.03</c:v>
                </c:pt>
                <c:pt idx="2">
                  <c:v>805484.03</c:v>
                </c:pt>
                <c:pt idx="3">
                  <c:v>956120</c:v>
                </c:pt>
                <c:pt idx="4">
                  <c:v>884310.03</c:v>
                </c:pt>
                <c:pt idx="5">
                  <c:v>883869.09</c:v>
                </c:pt>
                <c:pt idx="6">
                  <c:v>909730.06</c:v>
                </c:pt>
                <c:pt idx="7">
                  <c:v>993813</c:v>
                </c:pt>
                <c:pt idx="8">
                  <c:v>921493</c:v>
                </c:pt>
                <c:pt idx="9">
                  <c:v>735684.63</c:v>
                </c:pt>
                <c:pt idx="10">
                  <c:v>909261.03</c:v>
                </c:pt>
                <c:pt idx="11">
                  <c:v>811560.59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GASTOS!$H$81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GASTOS!$C$82:$N$82</c:f>
              <c:numCache>
                <c:formatCode>_("$"* #,##0.00_);_("$"* \(#,##0.00\);_("$"* "-"??_);_(@_)</c:formatCode>
                <c:ptCount val="12"/>
                <c:pt idx="0">
                  <c:v>1502164</c:v>
                </c:pt>
                <c:pt idx="1">
                  <c:v>966150</c:v>
                </c:pt>
                <c:pt idx="2">
                  <c:v>1002847</c:v>
                </c:pt>
                <c:pt idx="3">
                  <c:v>1023994</c:v>
                </c:pt>
                <c:pt idx="4">
                  <c:v>1060032</c:v>
                </c:pt>
                <c:pt idx="5">
                  <c:v>1022882</c:v>
                </c:pt>
                <c:pt idx="6">
                  <c:v>1015842</c:v>
                </c:pt>
                <c:pt idx="7">
                  <c:v>1179774.06</c:v>
                </c:pt>
                <c:pt idx="8">
                  <c:v>1076597</c:v>
                </c:pt>
                <c:pt idx="9">
                  <c:v>1080908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38480"/>
        <c:axId val="465939264"/>
      </c:lineChart>
      <c:catAx>
        <c:axId val="46593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5939264"/>
        <c:crosses val="autoZero"/>
        <c:auto val="1"/>
        <c:lblAlgn val="ctr"/>
        <c:lblOffset val="100"/>
        <c:noMultiLvlLbl val="0"/>
      </c:catAx>
      <c:valAx>
        <c:axId val="465939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46593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50"/>
              <a:t>GASTOS TOTALES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GASTOS!$G$2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GASTOS!$C$42:$N$42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GASTOS!$C$22:$M$22</c:f>
              <c:numCache>
                <c:formatCode>_("$"* #,##0.00_);_("$"* \(#,##0.00\);_("$"* "-"??_);_(@_)</c:formatCode>
                <c:ptCount val="11"/>
                <c:pt idx="0">
                  <c:v>1220922.57</c:v>
                </c:pt>
                <c:pt idx="1">
                  <c:v>922564.4300000004</c:v>
                </c:pt>
                <c:pt idx="2">
                  <c:v>1028328.48</c:v>
                </c:pt>
                <c:pt idx="3">
                  <c:v>814861.33</c:v>
                </c:pt>
                <c:pt idx="4">
                  <c:v>712916.59</c:v>
                </c:pt>
                <c:pt idx="5">
                  <c:v>495660.9</c:v>
                </c:pt>
                <c:pt idx="6" formatCode="General">
                  <c:v>911652.59</c:v>
                </c:pt>
                <c:pt idx="7" formatCode="General">
                  <c:v>726846</c:v>
                </c:pt>
                <c:pt idx="8" formatCode="#,##0.00">
                  <c:v>684737.47</c:v>
                </c:pt>
                <c:pt idx="9" formatCode="General">
                  <c:v>675771.04</c:v>
                </c:pt>
                <c:pt idx="10" formatCode="General">
                  <c:v>631061.94999999995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GASTOS!$G$41</c:f>
              <c:strCache>
                <c:ptCount val="1"/>
                <c:pt idx="0">
                  <c:v>2018</c:v>
                </c:pt>
              </c:strCache>
            </c:strRef>
          </c:tx>
          <c:val>
            <c:numRef>
              <c:f>GASTOS!$C$61:$N$61</c:f>
              <c:numCache>
                <c:formatCode>General</c:formatCode>
                <c:ptCount val="12"/>
                <c:pt idx="0">
                  <c:v>723846.62</c:v>
                </c:pt>
                <c:pt idx="1">
                  <c:v>942361.59999999998</c:v>
                </c:pt>
                <c:pt idx="2">
                  <c:v>1217040.8799999999</c:v>
                </c:pt>
                <c:pt idx="3">
                  <c:v>779931.17</c:v>
                </c:pt>
                <c:pt idx="4">
                  <c:v>995667.96</c:v>
                </c:pt>
                <c:pt idx="5">
                  <c:v>765476.3</c:v>
                </c:pt>
                <c:pt idx="6">
                  <c:v>830023.28</c:v>
                </c:pt>
                <c:pt idx="7">
                  <c:v>1098560.97</c:v>
                </c:pt>
                <c:pt idx="8">
                  <c:v>588835.41</c:v>
                </c:pt>
                <c:pt idx="9">
                  <c:v>343372.7</c:v>
                </c:pt>
                <c:pt idx="10">
                  <c:v>414971.51</c:v>
                </c:pt>
                <c:pt idx="11">
                  <c:v>626332.49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GASTOS!$H$81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GASTOS!$C$99:$N$99</c:f>
              <c:numCache>
                <c:formatCode>_("$"* #,##0.00_);_("$"* \(#,##0.00\);_("$"* "-"??_);_(@_)</c:formatCode>
                <c:ptCount val="12"/>
                <c:pt idx="0">
                  <c:v>886374.69</c:v>
                </c:pt>
                <c:pt idx="1">
                  <c:v>1273190.02</c:v>
                </c:pt>
                <c:pt idx="2">
                  <c:v>745907.12</c:v>
                </c:pt>
                <c:pt idx="3">
                  <c:v>1240905.23</c:v>
                </c:pt>
                <c:pt idx="4">
                  <c:v>1141366.51</c:v>
                </c:pt>
                <c:pt idx="5">
                  <c:v>1746922.35</c:v>
                </c:pt>
                <c:pt idx="6">
                  <c:v>1203529.3700000001</c:v>
                </c:pt>
                <c:pt idx="7">
                  <c:v>1415533.79</c:v>
                </c:pt>
                <c:pt idx="8">
                  <c:v>882039.72</c:v>
                </c:pt>
                <c:pt idx="9" formatCode="General">
                  <c:v>1229585.8600000001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40440"/>
        <c:axId val="465935344"/>
      </c:lineChart>
      <c:catAx>
        <c:axId val="465940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5935344"/>
        <c:crosses val="autoZero"/>
        <c:auto val="1"/>
        <c:lblAlgn val="ctr"/>
        <c:lblOffset val="100"/>
        <c:noMultiLvlLbl val="0"/>
      </c:catAx>
      <c:valAx>
        <c:axId val="465935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465940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'PADRON POR USO'!$C$5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'PADRON POR USO'!$D$5:$O$5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'PADRON POR USO'!$D$11:$O$11</c:f>
              <c:numCache>
                <c:formatCode>General</c:formatCode>
                <c:ptCount val="12"/>
                <c:pt idx="0">
                  <c:v>5206</c:v>
                </c:pt>
                <c:pt idx="1">
                  <c:v>5211</c:v>
                </c:pt>
                <c:pt idx="2">
                  <c:v>5215</c:v>
                </c:pt>
                <c:pt idx="3">
                  <c:v>5233</c:v>
                </c:pt>
                <c:pt idx="4">
                  <c:v>5245</c:v>
                </c:pt>
                <c:pt idx="5">
                  <c:v>5259</c:v>
                </c:pt>
                <c:pt idx="6">
                  <c:v>5271</c:v>
                </c:pt>
                <c:pt idx="7">
                  <c:v>5280</c:v>
                </c:pt>
                <c:pt idx="8">
                  <c:v>5293</c:v>
                </c:pt>
                <c:pt idx="9">
                  <c:v>5294</c:v>
                </c:pt>
                <c:pt idx="10">
                  <c:v>5294</c:v>
                </c:pt>
                <c:pt idx="11">
                  <c:v>5298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'PADRON POR USO'!$C$15</c:f>
              <c:strCache>
                <c:ptCount val="1"/>
                <c:pt idx="0">
                  <c:v>2018</c:v>
                </c:pt>
              </c:strCache>
            </c:strRef>
          </c:tx>
          <c:val>
            <c:numRef>
              <c:f>'PADRON POR USO'!$D$21:$O$21</c:f>
              <c:numCache>
                <c:formatCode>0</c:formatCode>
                <c:ptCount val="12"/>
                <c:pt idx="0">
                  <c:v>5282</c:v>
                </c:pt>
                <c:pt idx="1">
                  <c:v>5282</c:v>
                </c:pt>
                <c:pt idx="2">
                  <c:v>5282</c:v>
                </c:pt>
                <c:pt idx="3">
                  <c:v>5285</c:v>
                </c:pt>
                <c:pt idx="4">
                  <c:v>5284</c:v>
                </c:pt>
                <c:pt idx="5">
                  <c:v>5284</c:v>
                </c:pt>
                <c:pt idx="6">
                  <c:v>5310</c:v>
                </c:pt>
                <c:pt idx="7">
                  <c:v>5337</c:v>
                </c:pt>
                <c:pt idx="8">
                  <c:v>5340</c:v>
                </c:pt>
                <c:pt idx="9">
                  <c:v>5347</c:v>
                </c:pt>
                <c:pt idx="10">
                  <c:v>5354</c:v>
                </c:pt>
                <c:pt idx="11">
                  <c:v>5362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'PADRON POR USO'!$C$23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'PADRON POR USO'!$D$29:$N$29</c:f>
              <c:numCache>
                <c:formatCode>0</c:formatCode>
                <c:ptCount val="11"/>
                <c:pt idx="0">
                  <c:v>5303</c:v>
                </c:pt>
                <c:pt idx="1">
                  <c:v>5311</c:v>
                </c:pt>
                <c:pt idx="2">
                  <c:v>5313</c:v>
                </c:pt>
                <c:pt idx="3">
                  <c:v>5315</c:v>
                </c:pt>
                <c:pt idx="4">
                  <c:v>5317</c:v>
                </c:pt>
                <c:pt idx="5">
                  <c:v>5348</c:v>
                </c:pt>
                <c:pt idx="6">
                  <c:v>5358</c:v>
                </c:pt>
                <c:pt idx="7">
                  <c:v>5367</c:v>
                </c:pt>
                <c:pt idx="8">
                  <c:v>5398</c:v>
                </c:pt>
                <c:pt idx="9">
                  <c:v>5415</c:v>
                </c:pt>
                <c:pt idx="10">
                  <c:v>5410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36128"/>
        <c:axId val="465940048"/>
      </c:lineChart>
      <c:catAx>
        <c:axId val="46593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5940048"/>
        <c:crosses val="autoZero"/>
        <c:auto val="1"/>
        <c:lblAlgn val="ctr"/>
        <c:lblOffset val="100"/>
        <c:noMultiLvlLbl val="0"/>
      </c:catAx>
      <c:valAx>
        <c:axId val="46594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5936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50"/>
              <a:t>FACTURACION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FACTURACIÓN!$B$5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FACTURACIÓN!$C$4:$N$4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FACTURACIÓN!$C$5:$N$5</c:f>
              <c:numCache>
                <c:formatCode>"$"#,##0.00_);[Red]\("$"#,##0.00\)</c:formatCode>
                <c:ptCount val="12"/>
                <c:pt idx="0">
                  <c:v>543245</c:v>
                </c:pt>
                <c:pt idx="1">
                  <c:v>547802</c:v>
                </c:pt>
                <c:pt idx="2">
                  <c:v>535547</c:v>
                </c:pt>
                <c:pt idx="3">
                  <c:v>580281</c:v>
                </c:pt>
                <c:pt idx="4">
                  <c:v>554326</c:v>
                </c:pt>
                <c:pt idx="5">
                  <c:v>581051</c:v>
                </c:pt>
                <c:pt idx="6" formatCode="_(&quot;$&quot;* #,##0.00_);_(&quot;$&quot;* \(#,##0.00\);_(&quot;$&quot;* &quot;-&quot;??_);_(@_)">
                  <c:v>573399</c:v>
                </c:pt>
                <c:pt idx="7" formatCode="_(&quot;$&quot;* #,##0.00_);_(&quot;$&quot;* \(#,##0.00\);_(&quot;$&quot;* &quot;-&quot;??_);_(@_)">
                  <c:v>561285</c:v>
                </c:pt>
                <c:pt idx="8" formatCode="_(&quot;$&quot;* #,##0.00_);_(&quot;$&quot;* \(#,##0.00\);_(&quot;$&quot;* &quot;-&quot;??_);_(@_)">
                  <c:v>561285</c:v>
                </c:pt>
                <c:pt idx="9" formatCode="_(&quot;$&quot;* #,##0.00_);_(&quot;$&quot;* \(#,##0.00\);_(&quot;$&quot;* &quot;-&quot;??_);_(@_)">
                  <c:v>576535</c:v>
                </c:pt>
                <c:pt idx="10" formatCode="_(&quot;$&quot;* #,##0.00_);_(&quot;$&quot;* \(#,##0.00\);_(&quot;$&quot;* &quot;-&quot;??_);_(@_)">
                  <c:v>594877</c:v>
                </c:pt>
                <c:pt idx="11" formatCode="_(&quot;$&quot;* #,##0.00_);_(&quot;$&quot;* \(#,##0.00\);_(&quot;$&quot;* &quot;-&quot;??_);_(@_)">
                  <c:v>569497</c:v>
                </c:pt>
              </c:numCache>
            </c:numRef>
          </c:val>
        </c:ser>
        <c:ser>
          <c:idx val="1"/>
          <c:order val="1"/>
          <c:tx>
            <c:strRef>
              <c:f>FACTURACIÓN!$B$6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FACTURACIÓN!$C$6:$N$6</c:f>
              <c:numCache>
                <c:formatCode>_("$"* #,##0.00_);_("$"* \(#,##0.00\);_("$"* "-"??_);_(@_)</c:formatCode>
                <c:ptCount val="12"/>
                <c:pt idx="0">
                  <c:v>608561</c:v>
                </c:pt>
                <c:pt idx="1">
                  <c:v>665852.45999999309</c:v>
                </c:pt>
                <c:pt idx="2">
                  <c:v>628602</c:v>
                </c:pt>
                <c:pt idx="3">
                  <c:v>636293</c:v>
                </c:pt>
                <c:pt idx="4">
                  <c:v>654885</c:v>
                </c:pt>
                <c:pt idx="5">
                  <c:v>660429</c:v>
                </c:pt>
                <c:pt idx="6">
                  <c:v>674835</c:v>
                </c:pt>
                <c:pt idx="7">
                  <c:v>651307</c:v>
                </c:pt>
                <c:pt idx="8">
                  <c:v>636030</c:v>
                </c:pt>
                <c:pt idx="9">
                  <c:v>627419</c:v>
                </c:pt>
                <c:pt idx="10">
                  <c:v>600994</c:v>
                </c:pt>
                <c:pt idx="11">
                  <c:v>627790</c:v>
                </c:pt>
              </c:numCache>
            </c:numRef>
          </c:val>
        </c:ser>
        <c:ser>
          <c:idx val="2"/>
          <c:order val="2"/>
          <c:tx>
            <c:strRef>
              <c:f>FACTURACIÓN!$B$7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FACTURACIÓN!$C$7:$N$7</c:f>
              <c:numCache>
                <c:formatCode>_("$"* #,##0.00_);_("$"* \(#,##0.00\);_("$"* "-"??_);_(@_)</c:formatCode>
                <c:ptCount val="12"/>
                <c:pt idx="0">
                  <c:v>644759</c:v>
                </c:pt>
                <c:pt idx="1">
                  <c:v>725788</c:v>
                </c:pt>
                <c:pt idx="2">
                  <c:v>754392</c:v>
                </c:pt>
                <c:pt idx="3">
                  <c:v>705428</c:v>
                </c:pt>
                <c:pt idx="4">
                  <c:v>755593</c:v>
                </c:pt>
                <c:pt idx="5">
                  <c:v>773813</c:v>
                </c:pt>
                <c:pt idx="6">
                  <c:v>687010</c:v>
                </c:pt>
                <c:pt idx="7">
                  <c:v>774127</c:v>
                </c:pt>
                <c:pt idx="8">
                  <c:v>759455</c:v>
                </c:pt>
                <c:pt idx="9">
                  <c:v>708816</c:v>
                </c:pt>
                <c:pt idx="10">
                  <c:v>717869</c:v>
                </c:pt>
                <c:pt idx="11">
                  <c:v>715923</c:v>
                </c:pt>
              </c:numCache>
            </c:numRef>
          </c:val>
        </c:ser>
        <c:ser>
          <c:idx val="3"/>
          <c:order val="3"/>
          <c:tx>
            <c:strRef>
              <c:f>FACTURACIÓN!$B$8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FACTURACIÓN!$C$8:$N$8</c:f>
              <c:numCache>
                <c:formatCode>_("$"* #,##0.00_);_("$"* \(#,##0.00\);_("$"* "-"??_);_(@_)</c:formatCode>
                <c:ptCount val="12"/>
                <c:pt idx="0">
                  <c:v>642700</c:v>
                </c:pt>
                <c:pt idx="1">
                  <c:v>959994</c:v>
                </c:pt>
                <c:pt idx="2">
                  <c:v>829357</c:v>
                </c:pt>
                <c:pt idx="3">
                  <c:v>832120</c:v>
                </c:pt>
                <c:pt idx="4">
                  <c:v>887169</c:v>
                </c:pt>
                <c:pt idx="5">
                  <c:v>941062</c:v>
                </c:pt>
                <c:pt idx="6">
                  <c:v>831640</c:v>
                </c:pt>
                <c:pt idx="7">
                  <c:v>817975</c:v>
                </c:pt>
                <c:pt idx="8">
                  <c:v>795308.75</c:v>
                </c:pt>
                <c:pt idx="9">
                  <c:v>860740.06</c:v>
                </c:pt>
                <c:pt idx="10">
                  <c:v>825009.93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351104"/>
        <c:axId val="465358552"/>
      </c:barChart>
      <c:catAx>
        <c:axId val="465351104"/>
        <c:scaling>
          <c:orientation val="minMax"/>
        </c:scaling>
        <c:delete val="0"/>
        <c:axPos val="b"/>
        <c:majorGridlines/>
        <c:minorGridlines/>
        <c:numFmt formatCode="General" sourceLinked="0"/>
        <c:majorTickMark val="out"/>
        <c:minorTickMark val="none"/>
        <c:tickLblPos val="nextTo"/>
        <c:crossAx val="465358552"/>
        <c:crosses val="autoZero"/>
        <c:auto val="1"/>
        <c:lblAlgn val="ctr"/>
        <c:lblOffset val="100"/>
        <c:noMultiLvlLbl val="0"/>
      </c:catAx>
      <c:valAx>
        <c:axId val="465358552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465351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50"/>
              <a:t>Comparativo</a:t>
            </a:r>
            <a:r>
              <a:rPr lang="es-MX" sz="1050" baseline="0"/>
              <a:t> del Padron</a:t>
            </a:r>
            <a:endParaRPr lang="es-MX" sz="105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'PADRON POR USO'!$G$32:$K$32</c:f>
              <c:strCache>
                <c:ptCount val="5"/>
                <c:pt idx="0">
                  <c:v>TOMAS POR CLASE DE SERVICIO 2019 ( General )</c:v>
                </c:pt>
              </c:strCache>
            </c:strRef>
          </c:tx>
          <c:cat>
            <c:strRef>
              <c:f>'PADRON POR USO'!$D$5:$O$5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'PADRON POR USO'!$D$38:$N$38</c:f>
              <c:numCache>
                <c:formatCode>0</c:formatCode>
                <c:ptCount val="11"/>
                <c:pt idx="0">
                  <c:v>6104</c:v>
                </c:pt>
                <c:pt idx="1">
                  <c:v>6112</c:v>
                </c:pt>
                <c:pt idx="2">
                  <c:v>6114</c:v>
                </c:pt>
                <c:pt idx="3">
                  <c:v>6117</c:v>
                </c:pt>
                <c:pt idx="4">
                  <c:v>6119</c:v>
                </c:pt>
                <c:pt idx="5">
                  <c:v>6150</c:v>
                </c:pt>
                <c:pt idx="6">
                  <c:v>6160</c:v>
                </c:pt>
                <c:pt idx="7">
                  <c:v>6169</c:v>
                </c:pt>
                <c:pt idx="8">
                  <c:v>6200</c:v>
                </c:pt>
                <c:pt idx="9">
                  <c:v>6217</c:v>
                </c:pt>
                <c:pt idx="10">
                  <c:v>6223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'PADRON POR USO'!$G$23:$K$23</c:f>
              <c:strCache>
                <c:ptCount val="5"/>
                <c:pt idx="0">
                  <c:v>TOMAS POR CLASE DE SERVICIO 2019 (activo )</c:v>
                </c:pt>
              </c:strCache>
            </c:strRef>
          </c:tx>
          <c:val>
            <c:numRef>
              <c:f>'PADRON POR USO'!$D$29:$M$29</c:f>
              <c:numCache>
                <c:formatCode>0</c:formatCode>
                <c:ptCount val="10"/>
                <c:pt idx="0">
                  <c:v>5303</c:v>
                </c:pt>
                <c:pt idx="1">
                  <c:v>5311</c:v>
                </c:pt>
                <c:pt idx="2">
                  <c:v>5313</c:v>
                </c:pt>
                <c:pt idx="3">
                  <c:v>5315</c:v>
                </c:pt>
                <c:pt idx="4">
                  <c:v>5317</c:v>
                </c:pt>
                <c:pt idx="5">
                  <c:v>5348</c:v>
                </c:pt>
                <c:pt idx="6">
                  <c:v>5358</c:v>
                </c:pt>
                <c:pt idx="7">
                  <c:v>5367</c:v>
                </c:pt>
                <c:pt idx="8">
                  <c:v>5398</c:v>
                </c:pt>
                <c:pt idx="9">
                  <c:v>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37696"/>
        <c:axId val="305014504"/>
      </c:lineChart>
      <c:catAx>
        <c:axId val="46593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5014504"/>
        <c:crosses val="autoZero"/>
        <c:auto val="1"/>
        <c:lblAlgn val="ctr"/>
        <c:lblOffset val="100"/>
        <c:noMultiLvlLbl val="0"/>
      </c:catAx>
      <c:valAx>
        <c:axId val="305014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Numero de tomas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6593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50"/>
              <a:t>CONTRATOS</a:t>
            </a:r>
            <a:r>
              <a:rPr lang="es-MX" sz="1050" baseline="0"/>
              <a:t> DE AGUA</a:t>
            </a:r>
            <a:endParaRPr lang="es-MX" sz="105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'INGRESO POR CONTR'!$B$5</c:f>
              <c:strCache>
                <c:ptCount val="1"/>
                <c:pt idx="0">
                  <c:v>2017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'INGRESO POR CONTR'!$C$5:$N$5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'INGRESO POR CONTR'!$C$12:$N$12</c:f>
              <c:numCache>
                <c:formatCode>0</c:formatCode>
                <c:ptCount val="12"/>
                <c:pt idx="0">
                  <c:v>9.7878787878787872</c:v>
                </c:pt>
                <c:pt idx="1">
                  <c:v>13.909090909090908</c:v>
                </c:pt>
                <c:pt idx="2">
                  <c:v>12.303030303030303</c:v>
                </c:pt>
                <c:pt idx="3">
                  <c:v>14</c:v>
                </c:pt>
                <c:pt idx="4">
                  <c:v>14.863636363636363</c:v>
                </c:pt>
                <c:pt idx="5">
                  <c:v>13.196969696969697</c:v>
                </c:pt>
                <c:pt idx="6">
                  <c:v>15.196969696969697</c:v>
                </c:pt>
                <c:pt idx="7">
                  <c:v>10</c:v>
                </c:pt>
                <c:pt idx="8">
                  <c:v>8</c:v>
                </c:pt>
                <c:pt idx="9">
                  <c:v>13.363636363636363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'INGRESO POR CONTR'!$B$22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'INGRESO POR CONTR'!$C$29:$N$29</c:f>
              <c:numCache>
                <c:formatCode>0</c:formatCode>
                <c:ptCount val="12"/>
                <c:pt idx="0" formatCode="General">
                  <c:v>11</c:v>
                </c:pt>
                <c:pt idx="1">
                  <c:v>14.080882352941176</c:v>
                </c:pt>
                <c:pt idx="2" formatCode="General">
                  <c:v>9</c:v>
                </c:pt>
                <c:pt idx="3" formatCode="General">
                  <c:v>16</c:v>
                </c:pt>
                <c:pt idx="4">
                  <c:v>20.720588235294116</c:v>
                </c:pt>
                <c:pt idx="5" formatCode="General">
                  <c:v>5</c:v>
                </c:pt>
                <c:pt idx="6" formatCode="General">
                  <c:v>21</c:v>
                </c:pt>
                <c:pt idx="7" formatCode="General">
                  <c:v>22</c:v>
                </c:pt>
                <c:pt idx="8" formatCode="General">
                  <c:v>3</c:v>
                </c:pt>
                <c:pt idx="9" formatCode="General">
                  <c:v>15</c:v>
                </c:pt>
                <c:pt idx="10" formatCode="General">
                  <c:v>7</c:v>
                </c:pt>
                <c:pt idx="11" formatCode="General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'INGRESO POR CONTR'!$B$39</c:f>
              <c:strCache>
                <c:ptCount val="1"/>
                <c:pt idx="0">
                  <c:v>2019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'INGRESO POR CONTR'!$C$46:$N$46</c:f>
              <c:numCache>
                <c:formatCode>General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5</c:v>
                </c:pt>
                <c:pt idx="3">
                  <c:v>18</c:v>
                </c:pt>
                <c:pt idx="4">
                  <c:v>21</c:v>
                </c:pt>
                <c:pt idx="5">
                  <c:v>8</c:v>
                </c:pt>
                <c:pt idx="6">
                  <c:v>7</c:v>
                </c:pt>
                <c:pt idx="7">
                  <c:v>16</c:v>
                </c:pt>
                <c:pt idx="8">
                  <c:v>24</c:v>
                </c:pt>
                <c:pt idx="9">
                  <c:v>13</c:v>
                </c:pt>
                <c:pt idx="10">
                  <c:v>10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014896"/>
        <c:axId val="305011760"/>
      </c:lineChart>
      <c:catAx>
        <c:axId val="305014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5011760"/>
        <c:crosses val="autoZero"/>
        <c:auto val="1"/>
        <c:lblAlgn val="ctr"/>
        <c:lblOffset val="100"/>
        <c:noMultiLvlLbl val="0"/>
      </c:catAx>
      <c:valAx>
        <c:axId val="30501176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050148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50"/>
              <a:t>CONTRATOS DE DRENAJE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 POR CONTR'!$B$5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'INGRESO POR CONTR'!$C$5:$N$5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'INGRESO POR CONTR'!$C$18:$N$18</c:f>
              <c:numCache>
                <c:formatCode>0</c:formatCode>
                <c:ptCount val="12"/>
                <c:pt idx="0">
                  <c:v>1.9696969696969697</c:v>
                </c:pt>
                <c:pt idx="1">
                  <c:v>10.969696969696969</c:v>
                </c:pt>
                <c:pt idx="2">
                  <c:v>6.0530303030303028</c:v>
                </c:pt>
                <c:pt idx="3">
                  <c:v>9</c:v>
                </c:pt>
                <c:pt idx="4">
                  <c:v>1.6666666666666667</c:v>
                </c:pt>
                <c:pt idx="5">
                  <c:v>4.25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2.9696969696969697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'INGRESO POR CONTR'!$B$22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'INGRESO POR CONTR'!$C$35:$N$35</c:f>
              <c:numCache>
                <c:formatCode>General</c:formatCode>
                <c:ptCount val="12"/>
                <c:pt idx="0">
                  <c:v>9</c:v>
                </c:pt>
                <c:pt idx="1">
                  <c:v>8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3</c:v>
                </c:pt>
                <c:pt idx="7">
                  <c:v>11</c:v>
                </c:pt>
                <c:pt idx="8">
                  <c:v>8</c:v>
                </c:pt>
                <c:pt idx="9">
                  <c:v>15</c:v>
                </c:pt>
                <c:pt idx="10">
                  <c:v>15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'INGRESO POR CONTR'!$B$39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'INGRESO POR CONTR'!$C$52:$N$52</c:f>
              <c:numCache>
                <c:formatCode>General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5012544"/>
        <c:axId val="305011368"/>
      </c:barChart>
      <c:catAx>
        <c:axId val="305012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5011368"/>
        <c:crosses val="autoZero"/>
        <c:auto val="1"/>
        <c:lblAlgn val="ctr"/>
        <c:lblOffset val="100"/>
        <c:noMultiLvlLbl val="0"/>
      </c:catAx>
      <c:valAx>
        <c:axId val="30501136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050125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MX" sz="1050"/>
              <a:t>NIVEL ESTATICO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NIVELES!$G$5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NIVELES!$G$7:$G$12</c:f>
              <c:numCache>
                <c:formatCode>0.00</c:formatCode>
                <c:ptCount val="6"/>
                <c:pt idx="0">
                  <c:v>108.68</c:v>
                </c:pt>
                <c:pt idx="1">
                  <c:v>171.9</c:v>
                </c:pt>
                <c:pt idx="2" formatCode="General">
                  <c:v>113</c:v>
                </c:pt>
                <c:pt idx="3" formatCode="General">
                  <c:v>147.6</c:v>
                </c:pt>
                <c:pt idx="4" formatCode="General">
                  <c:v>158.30000000000001</c:v>
                </c:pt>
                <c:pt idx="5" formatCode="General">
                  <c:v>183.16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5014112"/>
        <c:axId val="304570544"/>
      </c:barChart>
      <c:lineChart>
        <c:grouping val="standard"/>
        <c:varyColors val="0"/>
        <c:ser>
          <c:idx val="0"/>
          <c:order val="0"/>
          <c:tx>
            <c:strRef>
              <c:f>NIVELES!$C$5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NIVELES!$B$7:$B$12</c:f>
              <c:strCache>
                <c:ptCount val="6"/>
                <c:pt idx="0">
                  <c:v>EL SALITRE</c:v>
                </c:pt>
                <c:pt idx="1">
                  <c:v>PARRITAS</c:v>
                </c:pt>
                <c:pt idx="2">
                  <c:v>PRESITA</c:v>
                </c:pt>
                <c:pt idx="3">
                  <c:v>TEMAZCALILLO</c:v>
                </c:pt>
                <c:pt idx="4">
                  <c:v>ROSA DE CASTILLA</c:v>
                </c:pt>
                <c:pt idx="5">
                  <c:v>TANQUE NUEVO</c:v>
                </c:pt>
              </c:strCache>
            </c:strRef>
          </c:cat>
          <c:val>
            <c:numRef>
              <c:f>NIVELES!$E$7:$E$12</c:f>
              <c:numCache>
                <c:formatCode>General</c:formatCode>
                <c:ptCount val="6"/>
                <c:pt idx="0">
                  <c:v>108.68</c:v>
                </c:pt>
                <c:pt idx="1">
                  <c:v>171</c:v>
                </c:pt>
                <c:pt idx="2">
                  <c:v>113</c:v>
                </c:pt>
                <c:pt idx="3">
                  <c:v>147.6</c:v>
                </c:pt>
                <c:pt idx="4">
                  <c:v>158.30000000000001</c:v>
                </c:pt>
                <c:pt idx="5">
                  <c:v>183.16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014112"/>
        <c:axId val="304570544"/>
      </c:lineChart>
      <c:catAx>
        <c:axId val="305014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304570544"/>
        <c:crosses val="autoZero"/>
        <c:auto val="1"/>
        <c:lblAlgn val="ctr"/>
        <c:lblOffset val="100"/>
        <c:noMultiLvlLbl val="0"/>
      </c:catAx>
      <c:valAx>
        <c:axId val="30457054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3050141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MX" sz="1050"/>
              <a:t>NIVEL DINAMICO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NIVELES!$G$5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NIVELES!$G$18:$G$23</c:f>
              <c:numCache>
                <c:formatCode>General</c:formatCode>
                <c:ptCount val="6"/>
                <c:pt idx="0">
                  <c:v>123</c:v>
                </c:pt>
                <c:pt idx="1">
                  <c:v>190.9</c:v>
                </c:pt>
                <c:pt idx="2">
                  <c:v>125.41</c:v>
                </c:pt>
                <c:pt idx="3">
                  <c:v>156.09</c:v>
                </c:pt>
                <c:pt idx="4">
                  <c:v>160.68</c:v>
                </c:pt>
                <c:pt idx="5">
                  <c:v>185.84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4572896"/>
        <c:axId val="304576816"/>
      </c:barChart>
      <c:lineChart>
        <c:grouping val="standard"/>
        <c:varyColors val="0"/>
        <c:ser>
          <c:idx val="0"/>
          <c:order val="0"/>
          <c:tx>
            <c:strRef>
              <c:f>NIVELES!$C$5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NIVELES!$B$18:$B$23</c:f>
              <c:strCache>
                <c:ptCount val="6"/>
                <c:pt idx="0">
                  <c:v>EL SALITRE</c:v>
                </c:pt>
                <c:pt idx="1">
                  <c:v>PARRITAS</c:v>
                </c:pt>
                <c:pt idx="2">
                  <c:v>PRESITA</c:v>
                </c:pt>
                <c:pt idx="3">
                  <c:v>TEMAZCALILLO</c:v>
                </c:pt>
                <c:pt idx="4">
                  <c:v>ROSA DE CASTILLA</c:v>
                </c:pt>
                <c:pt idx="5">
                  <c:v>TANQUE NUEVO</c:v>
                </c:pt>
              </c:strCache>
            </c:strRef>
          </c:cat>
          <c:val>
            <c:numRef>
              <c:f>NIVELES!$E$18:$E$23</c:f>
              <c:numCache>
                <c:formatCode>General</c:formatCode>
                <c:ptCount val="6"/>
                <c:pt idx="0">
                  <c:v>111.5</c:v>
                </c:pt>
                <c:pt idx="1">
                  <c:v>190.7</c:v>
                </c:pt>
                <c:pt idx="2">
                  <c:v>120</c:v>
                </c:pt>
                <c:pt idx="3">
                  <c:v>151.85</c:v>
                </c:pt>
                <c:pt idx="4">
                  <c:v>160.30000000000001</c:v>
                </c:pt>
                <c:pt idx="5">
                  <c:v>185.84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72896"/>
        <c:axId val="304576816"/>
      </c:lineChart>
      <c:catAx>
        <c:axId val="304572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304576816"/>
        <c:crosses val="autoZero"/>
        <c:auto val="1"/>
        <c:lblAlgn val="ctr"/>
        <c:lblOffset val="100"/>
        <c:noMultiLvlLbl val="0"/>
      </c:catAx>
      <c:valAx>
        <c:axId val="304576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45728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NIVEL ESTATICO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NIVELES!$E$6</c:f>
              <c:strCache>
                <c:ptCount val="1"/>
                <c:pt idx="0">
                  <c:v>01/12/2018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NIVELES!$E$14</c:f>
              <c:numCache>
                <c:formatCode>0.00</c:formatCode>
                <c:ptCount val="1"/>
                <c:pt idx="0">
                  <c:v>146.95666666666665</c:v>
                </c:pt>
              </c:numCache>
            </c:numRef>
          </c:val>
        </c:ser>
        <c:ser>
          <c:idx val="1"/>
          <c:order val="1"/>
          <c:tx>
            <c:strRef>
              <c:f>NIVELES!$G$6</c:f>
              <c:strCache>
                <c:ptCount val="1"/>
                <c:pt idx="0">
                  <c:v>01/07/2019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NIVELES!$G$14</c:f>
              <c:numCache>
                <c:formatCode>0.00</c:formatCode>
                <c:ptCount val="1"/>
                <c:pt idx="0">
                  <c:v>147.10666666666665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4574856"/>
        <c:axId val="304572504"/>
      </c:barChart>
      <c:catAx>
        <c:axId val="304574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304572504"/>
        <c:crosses val="autoZero"/>
        <c:auto val="1"/>
        <c:lblAlgn val="ctr"/>
        <c:lblOffset val="100"/>
        <c:noMultiLvlLbl val="0"/>
      </c:catAx>
      <c:valAx>
        <c:axId val="30457250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304574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MX" sz="1050"/>
              <a:t>NIVEL</a:t>
            </a:r>
            <a:r>
              <a:rPr lang="es-MX" sz="1050" baseline="0"/>
              <a:t> DINAMICO</a:t>
            </a:r>
            <a:endParaRPr lang="es-MX" sz="105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NIVELES!$E$6</c:f>
              <c:strCache>
                <c:ptCount val="1"/>
                <c:pt idx="0">
                  <c:v>01/12/2018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NIVELES!$E$25</c:f>
              <c:numCache>
                <c:formatCode>0.00</c:formatCode>
                <c:ptCount val="1"/>
                <c:pt idx="0">
                  <c:v>153.36499999999998</c:v>
                </c:pt>
              </c:numCache>
            </c:numRef>
          </c:val>
        </c:ser>
        <c:ser>
          <c:idx val="1"/>
          <c:order val="1"/>
          <c:tx>
            <c:strRef>
              <c:f>NIVELES!$G$6</c:f>
              <c:strCache>
                <c:ptCount val="1"/>
                <c:pt idx="0">
                  <c:v>01/07/2019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NIVELES!$G$25</c:f>
              <c:numCache>
                <c:formatCode>0.00</c:formatCode>
                <c:ptCount val="1"/>
                <c:pt idx="0">
                  <c:v>156.98666666666665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7215632"/>
        <c:axId val="467214848"/>
      </c:barChart>
      <c:catAx>
        <c:axId val="467215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67214848"/>
        <c:crosses val="autoZero"/>
        <c:auto val="1"/>
        <c:lblAlgn val="ctr"/>
        <c:lblOffset val="100"/>
        <c:noMultiLvlLbl val="0"/>
      </c:catAx>
      <c:valAx>
        <c:axId val="4672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4672156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s-MX" sz="900"/>
              <a:t>IMPORTE</a:t>
            </a:r>
            <a:r>
              <a:rPr lang="es-MX" sz="900" baseline="0"/>
              <a:t> RECONEXION</a:t>
            </a:r>
            <a:endParaRPr lang="es-MX" sz="9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'INGR POR REC Y GTOS'!$G$5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'INGR POR REC Y GTOS'!$B$6:$M$6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'INGR POR REC Y GTOS'!$B$7:$M$7</c:f>
              <c:numCache>
                <c:formatCode>_("$"* #,##0.00_);_("$"* \(#,##0.00\);_("$"* "-"??_);_(@_)</c:formatCode>
                <c:ptCount val="12"/>
                <c:pt idx="0">
                  <c:v>2232</c:v>
                </c:pt>
                <c:pt idx="1">
                  <c:v>1695</c:v>
                </c:pt>
                <c:pt idx="2">
                  <c:v>837</c:v>
                </c:pt>
                <c:pt idx="3">
                  <c:v>1719</c:v>
                </c:pt>
                <c:pt idx="4">
                  <c:v>2232</c:v>
                </c:pt>
                <c:pt idx="5">
                  <c:v>1674</c:v>
                </c:pt>
                <c:pt idx="6">
                  <c:v>2790</c:v>
                </c:pt>
                <c:pt idx="7">
                  <c:v>2790</c:v>
                </c:pt>
                <c:pt idx="8">
                  <c:v>3393</c:v>
                </c:pt>
                <c:pt idx="9">
                  <c:v>558</c:v>
                </c:pt>
                <c:pt idx="10">
                  <c:v>1116</c:v>
                </c:pt>
                <c:pt idx="11">
                  <c:v>1116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'INGR POR REC Y GTOS'!$G$9</c:f>
              <c:strCache>
                <c:ptCount val="1"/>
                <c:pt idx="0">
                  <c:v>2018</c:v>
                </c:pt>
              </c:strCache>
            </c:strRef>
          </c:tx>
          <c:val>
            <c:numRef>
              <c:f>'INGR POR REC Y GTOS'!$B$10:$M$10</c:f>
              <c:numCache>
                <c:formatCode>_("$"* #,##0.00_);_("$"* \(#,##0.00\);_("$"* "-"??_);_(@_)</c:formatCode>
                <c:ptCount val="12"/>
                <c:pt idx="0">
                  <c:v>3444</c:v>
                </c:pt>
                <c:pt idx="1">
                  <c:v>2296</c:v>
                </c:pt>
                <c:pt idx="2">
                  <c:v>2009</c:v>
                </c:pt>
                <c:pt idx="3">
                  <c:v>287</c:v>
                </c:pt>
                <c:pt idx="4">
                  <c:v>6027</c:v>
                </c:pt>
                <c:pt idx="5">
                  <c:v>2296</c:v>
                </c:pt>
                <c:pt idx="6">
                  <c:v>4879</c:v>
                </c:pt>
                <c:pt idx="7">
                  <c:v>4592</c:v>
                </c:pt>
                <c:pt idx="8">
                  <c:v>2870</c:v>
                </c:pt>
                <c:pt idx="9">
                  <c:v>3157</c:v>
                </c:pt>
                <c:pt idx="10">
                  <c:v>3731</c:v>
                </c:pt>
                <c:pt idx="11">
                  <c:v>2916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'INGR POR REC Y GTOS'!$G$13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'INGR POR REC Y GTOS'!$B$14:$M$14</c:f>
              <c:numCache>
                <c:formatCode>_("$"* #,##0.00_);_("$"* \(#,##0.00\);_("$"* "-"??_);_(@_)</c:formatCode>
                <c:ptCount val="12"/>
                <c:pt idx="0">
                  <c:v>1192</c:v>
                </c:pt>
                <c:pt idx="1">
                  <c:v>3576</c:v>
                </c:pt>
                <c:pt idx="2">
                  <c:v>2380</c:v>
                </c:pt>
                <c:pt idx="3">
                  <c:v>5070</c:v>
                </c:pt>
                <c:pt idx="4">
                  <c:v>4768</c:v>
                </c:pt>
                <c:pt idx="5">
                  <c:v>6258</c:v>
                </c:pt>
                <c:pt idx="6">
                  <c:v>2682</c:v>
                </c:pt>
                <c:pt idx="7">
                  <c:v>3576</c:v>
                </c:pt>
                <c:pt idx="8">
                  <c:v>5359.12</c:v>
                </c:pt>
                <c:pt idx="9">
                  <c:v>1952.67</c:v>
                </c:pt>
                <c:pt idx="10">
                  <c:v>722.67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217984"/>
        <c:axId val="467215240"/>
      </c:lineChart>
      <c:catAx>
        <c:axId val="467217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7215240"/>
        <c:crosses val="autoZero"/>
        <c:auto val="1"/>
        <c:lblAlgn val="ctr"/>
        <c:lblOffset val="100"/>
        <c:noMultiLvlLbl val="0"/>
      </c:catAx>
      <c:valAx>
        <c:axId val="467215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467217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 POR REC Y GTOS'!$G$5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'INGR POR REC Y GTOS'!$B$6:$M$6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'INGR POR REC Y GTOS'!$B$8:$M$8</c:f>
              <c:numCache>
                <c:formatCode>General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'INGR POR REC Y GTOS'!$G$9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'INGR POR REC Y GTOS'!$B$11:$M$11</c:f>
              <c:numCache>
                <c:formatCode>General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  <c:pt idx="4">
                  <c:v>21</c:v>
                </c:pt>
                <c:pt idx="5">
                  <c:v>8</c:v>
                </c:pt>
                <c:pt idx="6">
                  <c:v>17</c:v>
                </c:pt>
                <c:pt idx="7">
                  <c:v>16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10</c:v>
                </c:pt>
              </c:numCache>
            </c:numRef>
          </c:val>
        </c:ser>
        <c:ser>
          <c:idx val="2"/>
          <c:order val="2"/>
          <c:tx>
            <c:strRef>
              <c:f>'INGR POR REC Y GTOS'!$G$13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'INGR POR REC Y GTOS'!$B$15:$M$15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8</c:v>
                </c:pt>
                <c:pt idx="3">
                  <c:v>17</c:v>
                </c:pt>
                <c:pt idx="4">
                  <c:v>16</c:v>
                </c:pt>
                <c:pt idx="5">
                  <c:v>21</c:v>
                </c:pt>
                <c:pt idx="6">
                  <c:v>9</c:v>
                </c:pt>
                <c:pt idx="7">
                  <c:v>12</c:v>
                </c:pt>
                <c:pt idx="8">
                  <c:v>18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7217200"/>
        <c:axId val="467216416"/>
      </c:barChart>
      <c:catAx>
        <c:axId val="46721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7216416"/>
        <c:crosses val="autoZero"/>
        <c:auto val="1"/>
        <c:lblAlgn val="ctr"/>
        <c:lblOffset val="100"/>
        <c:noMultiLvlLbl val="0"/>
      </c:catAx>
      <c:valAx>
        <c:axId val="467216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672172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50"/>
              <a:t>INGRESOS</a:t>
            </a:r>
            <a:r>
              <a:rPr lang="es-MX" sz="1050" baseline="0"/>
              <a:t> POR SERVICIO DE AGUA</a:t>
            </a:r>
            <a:endParaRPr lang="es-MX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 X TOMA'!$B$4</c:f>
              <c:strCache>
                <c:ptCount val="1"/>
                <c:pt idx="0">
                  <c:v>TOMAS DE AGUA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'INGR X TOMA'!$C$3:$M$3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'INGR X TOMA'!$C$4:$M$4</c:f>
              <c:numCache>
                <c:formatCode>General</c:formatCode>
                <c:ptCount val="11"/>
                <c:pt idx="0">
                  <c:v>4255</c:v>
                </c:pt>
                <c:pt idx="1">
                  <c:v>4141</c:v>
                </c:pt>
                <c:pt idx="2">
                  <c:v>3026</c:v>
                </c:pt>
                <c:pt idx="3">
                  <c:v>3906</c:v>
                </c:pt>
                <c:pt idx="4">
                  <c:v>4367</c:v>
                </c:pt>
                <c:pt idx="5">
                  <c:v>4951</c:v>
                </c:pt>
                <c:pt idx="6">
                  <c:v>5148</c:v>
                </c:pt>
                <c:pt idx="7">
                  <c:v>5192</c:v>
                </c:pt>
                <c:pt idx="8">
                  <c:v>5326</c:v>
                </c:pt>
                <c:pt idx="9">
                  <c:v>5280</c:v>
                </c:pt>
                <c:pt idx="10">
                  <c:v>5415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11897272"/>
        <c:axId val="311898840"/>
      </c:barChart>
      <c:lineChart>
        <c:grouping val="standard"/>
        <c:varyColors val="0"/>
        <c:ser>
          <c:idx val="1"/>
          <c:order val="1"/>
          <c:tx>
            <c:strRef>
              <c:f>'INGR X TOMA'!$B$5</c:f>
              <c:strCache>
                <c:ptCount val="1"/>
                <c:pt idx="0">
                  <c:v>INGRESOS POR SERVICIO DE AGUA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'INGR X TOMA'!$C$3:$M$3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'INGR X TOMA'!$C$5:$M$5</c:f>
              <c:numCache>
                <c:formatCode>_("$"* #,##0.00_);_("$"* \(#,##0.00\);_("$"* "-"??_);_(@_)</c:formatCode>
                <c:ptCount val="11"/>
                <c:pt idx="0">
                  <c:v>3715111</c:v>
                </c:pt>
                <c:pt idx="1">
                  <c:v>4233556</c:v>
                </c:pt>
                <c:pt idx="2">
                  <c:v>3300102</c:v>
                </c:pt>
                <c:pt idx="3">
                  <c:v>4684766</c:v>
                </c:pt>
                <c:pt idx="4">
                  <c:v>4258698</c:v>
                </c:pt>
                <c:pt idx="5">
                  <c:v>5373335</c:v>
                </c:pt>
                <c:pt idx="6">
                  <c:v>5585062</c:v>
                </c:pt>
                <c:pt idx="7">
                  <c:v>6199550</c:v>
                </c:pt>
                <c:pt idx="8">
                  <c:v>7296633.3800000008</c:v>
                </c:pt>
                <c:pt idx="9">
                  <c:v>8026238</c:v>
                </c:pt>
                <c:pt idx="10">
                  <c:v>8873079.1600000001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1897272"/>
        <c:axId val="311898840"/>
      </c:lineChart>
      <c:catAx>
        <c:axId val="31189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11898840"/>
        <c:crosses val="autoZero"/>
        <c:auto val="1"/>
        <c:lblAlgn val="ctr"/>
        <c:lblOffset val="100"/>
        <c:noMultiLvlLbl val="0"/>
      </c:catAx>
      <c:valAx>
        <c:axId val="311898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118972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INGRESOS POR SERVICIO DE AGUA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INGRESO!$B$5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INGRESO!$C$4:$N$4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INGRESO!$C$5:$N$5</c:f>
              <c:numCache>
                <c:formatCode>_("$"* #,##0.00_);_("$"* \(#,##0.00\);_("$"* "-"??_);_(@_)</c:formatCode>
                <c:ptCount val="12"/>
                <c:pt idx="0">
                  <c:v>780212</c:v>
                </c:pt>
                <c:pt idx="1">
                  <c:v>576975</c:v>
                </c:pt>
                <c:pt idx="2">
                  <c:v>557594</c:v>
                </c:pt>
                <c:pt idx="3">
                  <c:v>568282</c:v>
                </c:pt>
                <c:pt idx="4">
                  <c:v>580928</c:v>
                </c:pt>
                <c:pt idx="5">
                  <c:v>584788</c:v>
                </c:pt>
                <c:pt idx="6">
                  <c:v>547604</c:v>
                </c:pt>
                <c:pt idx="7">
                  <c:v>587206</c:v>
                </c:pt>
                <c:pt idx="8">
                  <c:v>540349</c:v>
                </c:pt>
                <c:pt idx="9">
                  <c:v>722202</c:v>
                </c:pt>
                <c:pt idx="10">
                  <c:v>583477</c:v>
                </c:pt>
                <c:pt idx="11">
                  <c:v>552371</c:v>
                </c:pt>
              </c:numCache>
            </c:numRef>
          </c:val>
        </c:ser>
        <c:ser>
          <c:idx val="1"/>
          <c:order val="1"/>
          <c:tx>
            <c:strRef>
              <c:f>INGRESO!$B$6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INGRESO!$C$4:$N$4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INGRESO!$C$6:$N$6</c:f>
              <c:numCache>
                <c:formatCode>_("$"* #,##0.00_);_("$"* \(#,##0.00\);_("$"* "-"??_);_(@_)</c:formatCode>
                <c:ptCount val="12"/>
                <c:pt idx="0">
                  <c:v>991084.16</c:v>
                </c:pt>
                <c:pt idx="1">
                  <c:v>621023.45000000007</c:v>
                </c:pt>
                <c:pt idx="2">
                  <c:v>643353</c:v>
                </c:pt>
                <c:pt idx="3">
                  <c:v>600653</c:v>
                </c:pt>
                <c:pt idx="4">
                  <c:v>716447</c:v>
                </c:pt>
                <c:pt idx="5">
                  <c:v>699220</c:v>
                </c:pt>
                <c:pt idx="6">
                  <c:v>660071</c:v>
                </c:pt>
                <c:pt idx="7">
                  <c:v>680674</c:v>
                </c:pt>
                <c:pt idx="8">
                  <c:v>603314</c:v>
                </c:pt>
                <c:pt idx="9">
                  <c:v>718856</c:v>
                </c:pt>
                <c:pt idx="10">
                  <c:v>635312</c:v>
                </c:pt>
                <c:pt idx="11">
                  <c:v>473941</c:v>
                </c:pt>
              </c:numCache>
            </c:numRef>
          </c:val>
        </c:ser>
        <c:ser>
          <c:idx val="2"/>
          <c:order val="2"/>
          <c:tx>
            <c:strRef>
              <c:f>INGRESO!$B$7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INGRESO!$C$4:$N$4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INGRESO!$C$7:$N$7</c:f>
              <c:numCache>
                <c:formatCode>_("$"* #,##0.00_);_("$"* \(#,##0.00\);_("$"* "-"??_);_(@_)</c:formatCode>
                <c:ptCount val="12"/>
                <c:pt idx="0">
                  <c:v>1110558</c:v>
                </c:pt>
                <c:pt idx="1">
                  <c:v>688062</c:v>
                </c:pt>
                <c:pt idx="2">
                  <c:v>681016</c:v>
                </c:pt>
                <c:pt idx="3">
                  <c:v>788022</c:v>
                </c:pt>
                <c:pt idx="4">
                  <c:v>777467</c:v>
                </c:pt>
                <c:pt idx="5">
                  <c:v>744072</c:v>
                </c:pt>
                <c:pt idx="6">
                  <c:v>732363</c:v>
                </c:pt>
                <c:pt idx="7">
                  <c:v>756289</c:v>
                </c:pt>
                <c:pt idx="8">
                  <c:v>729286</c:v>
                </c:pt>
                <c:pt idx="9">
                  <c:v>730876</c:v>
                </c:pt>
                <c:pt idx="10">
                  <c:v>765000</c:v>
                </c:pt>
                <c:pt idx="11" formatCode="&quot;$&quot;#,###.00">
                  <c:v>646643</c:v>
                </c:pt>
              </c:numCache>
            </c:numRef>
          </c:val>
        </c:ser>
        <c:ser>
          <c:idx val="3"/>
          <c:order val="3"/>
          <c:tx>
            <c:strRef>
              <c:f>INGRESO!$B$8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INGRESO!$C$4:$N$4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INGRESO!$C$8:$N$8</c:f>
              <c:numCache>
                <c:formatCode>_("$"* #,##0.00_);_("$"* \(#,##0.00\);_("$"* "-"??_);_(@_)</c:formatCode>
                <c:ptCount val="12"/>
                <c:pt idx="0">
                  <c:v>1235975</c:v>
                </c:pt>
                <c:pt idx="1">
                  <c:v>779303</c:v>
                </c:pt>
                <c:pt idx="2">
                  <c:v>811962</c:v>
                </c:pt>
                <c:pt idx="3">
                  <c:v>839342</c:v>
                </c:pt>
                <c:pt idx="4">
                  <c:v>893397</c:v>
                </c:pt>
                <c:pt idx="5">
                  <c:v>872668</c:v>
                </c:pt>
                <c:pt idx="6">
                  <c:v>910082</c:v>
                </c:pt>
                <c:pt idx="7">
                  <c:v>806051</c:v>
                </c:pt>
                <c:pt idx="8">
                  <c:v>801471.06</c:v>
                </c:pt>
                <c:pt idx="9">
                  <c:v>922828.1</c:v>
                </c:pt>
                <c:pt idx="10">
                  <c:v>902921.72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5358160"/>
        <c:axId val="465357768"/>
        <c:axId val="0"/>
      </c:bar3DChart>
      <c:catAx>
        <c:axId val="46535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5357768"/>
        <c:crosses val="autoZero"/>
        <c:auto val="1"/>
        <c:lblAlgn val="ctr"/>
        <c:lblOffset val="100"/>
        <c:noMultiLvlLbl val="0"/>
      </c:catAx>
      <c:valAx>
        <c:axId val="46535776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465358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ENERO -JUNIO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CONCEPTOS!$C$6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CONCEPTOS!$B$7:$B$36</c:f>
              <c:strCache>
                <c:ptCount val="30"/>
                <c:pt idx="0">
                  <c:v>AGUA EN PIPAS</c:v>
                </c:pt>
                <c:pt idx="1">
                  <c:v>CAMBIO DE TITULAR</c:v>
                </c:pt>
                <c:pt idx="2">
                  <c:v>CONSUMO ESTIMADO</c:v>
                </c:pt>
                <c:pt idx="3">
                  <c:v>CONTRATO DE AGUA POTABLE</c:v>
                </c:pt>
                <c:pt idx="4">
                  <c:v>CONTRATO DE DESCARGA DE AGUA RESIDU</c:v>
                </c:pt>
                <c:pt idx="5">
                  <c:v>CUENTA CORRIENTE DE AGUA</c:v>
                </c:pt>
                <c:pt idx="6">
                  <c:v>CUENTA CORRIENTE DE DRENAJE</c:v>
                </c:pt>
                <c:pt idx="7">
                  <c:v>CUENTA CORRIENTE DE SANEAMIENTO</c:v>
                </c:pt>
                <c:pt idx="8">
                  <c:v>DESCUENTO O ESTIMULO PAGO ANUAL</c:v>
                </c:pt>
                <c:pt idx="9">
                  <c:v>DUPLICADO DE RECIBO</c:v>
                </c:pt>
                <c:pt idx="10">
                  <c:v>GASTOS DE EJECUCION</c:v>
                </c:pt>
                <c:pt idx="11">
                  <c:v>INCORPORACION INDIVIDUAL AGUA POTAB</c:v>
                </c:pt>
                <c:pt idx="12">
                  <c:v>INCORPORACION INDIVIDUAL DE DRENAJE</c:v>
                </c:pt>
                <c:pt idx="13">
                  <c:v>INTERESES CONVENIO</c:v>
                </c:pt>
                <c:pt idx="14">
                  <c:v>IVA</c:v>
                </c:pt>
                <c:pt idx="15">
                  <c:v>IVA DE CUENTA CORRIENTE</c:v>
                </c:pt>
                <c:pt idx="16">
                  <c:v>IVA DE REZAGO DE AGUA</c:v>
                </c:pt>
                <c:pt idx="17">
                  <c:v>MATERIALES  E INSTALACION  DEL RAMA</c:v>
                </c:pt>
                <c:pt idx="18">
                  <c:v>MATERIALES E INTALACION DE CUADRO D</c:v>
                </c:pt>
                <c:pt idx="19">
                  <c:v>MATERIALES E INTALACION PARA DESCAR</c:v>
                </c:pt>
                <c:pt idx="20">
                  <c:v>METRO ADICIONAL TERRACERIA</c:v>
                </c:pt>
                <c:pt idx="21">
                  <c:v>MULTA</c:v>
                </c:pt>
                <c:pt idx="22">
                  <c:v>RECARGOS</c:v>
                </c:pt>
                <c:pt idx="23">
                  <c:v>RECONEXION</c:v>
                </c:pt>
                <c:pt idx="24">
                  <c:v>REZAGO DE AGUA</c:v>
                </c:pt>
                <c:pt idx="25">
                  <c:v>REZAGO DE DRENAJE</c:v>
                </c:pt>
                <c:pt idx="26">
                  <c:v>REZAGO DE SANEAMIENTO</c:v>
                </c:pt>
                <c:pt idx="27">
                  <c:v>SUMINISTRO  DE AGUA TRATADA</c:v>
                </c:pt>
                <c:pt idx="28">
                  <c:v>SUMINISTRO E INTALACION DE MEDIDORE</c:v>
                </c:pt>
                <c:pt idx="29">
                  <c:v>SUSPENCION VOLUNTARIA</c:v>
                </c:pt>
              </c:strCache>
            </c:strRef>
          </c:cat>
          <c:val>
            <c:numRef>
              <c:f>CONCEPTOS!$C$7:$C$36</c:f>
              <c:numCache>
                <c:formatCode>_("$"* #,##0.00_);_("$"* \(#,##0.00\);_("$"* "-"??_);_(@_)</c:formatCode>
                <c:ptCount val="30"/>
                <c:pt idx="0">
                  <c:v>36136</c:v>
                </c:pt>
                <c:pt idx="1">
                  <c:v>380</c:v>
                </c:pt>
                <c:pt idx="2">
                  <c:v>6758</c:v>
                </c:pt>
                <c:pt idx="3">
                  <c:v>10616</c:v>
                </c:pt>
                <c:pt idx="4">
                  <c:v>21231</c:v>
                </c:pt>
                <c:pt idx="5">
                  <c:v>2676905.7200000002</c:v>
                </c:pt>
                <c:pt idx="6">
                  <c:v>95122</c:v>
                </c:pt>
                <c:pt idx="7">
                  <c:v>190243.6</c:v>
                </c:pt>
                <c:pt idx="8">
                  <c:v>61217</c:v>
                </c:pt>
                <c:pt idx="9">
                  <c:v>77</c:v>
                </c:pt>
                <c:pt idx="10">
                  <c:v>43201.06</c:v>
                </c:pt>
                <c:pt idx="11">
                  <c:v>54241</c:v>
                </c:pt>
                <c:pt idx="12">
                  <c:v>37551</c:v>
                </c:pt>
                <c:pt idx="13">
                  <c:v>217</c:v>
                </c:pt>
                <c:pt idx="14">
                  <c:v>19858.939999999999</c:v>
                </c:pt>
                <c:pt idx="15">
                  <c:v>113507</c:v>
                </c:pt>
                <c:pt idx="16">
                  <c:v>27368.77</c:v>
                </c:pt>
                <c:pt idx="17">
                  <c:v>57394</c:v>
                </c:pt>
                <c:pt idx="18">
                  <c:v>17721</c:v>
                </c:pt>
                <c:pt idx="19">
                  <c:v>30861</c:v>
                </c:pt>
                <c:pt idx="20">
                  <c:v>1935</c:v>
                </c:pt>
                <c:pt idx="21">
                  <c:v>13354</c:v>
                </c:pt>
                <c:pt idx="22">
                  <c:v>50258.07</c:v>
                </c:pt>
                <c:pt idx="23">
                  <c:v>19699</c:v>
                </c:pt>
                <c:pt idx="24">
                  <c:v>713009</c:v>
                </c:pt>
                <c:pt idx="25">
                  <c:v>21351</c:v>
                </c:pt>
                <c:pt idx="26">
                  <c:v>42455</c:v>
                </c:pt>
                <c:pt idx="27">
                  <c:v>9841.6</c:v>
                </c:pt>
                <c:pt idx="28">
                  <c:v>26594</c:v>
                </c:pt>
                <c:pt idx="29">
                  <c:v>3625</c:v>
                </c:pt>
              </c:numCache>
            </c:numRef>
          </c:val>
        </c:ser>
        <c:ser>
          <c:idx val="1"/>
          <c:order val="1"/>
          <c:tx>
            <c:strRef>
              <c:f>CONCEPTOS!$D$6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CONCEPTOS!$D$7:$D$36</c:f>
              <c:numCache>
                <c:formatCode>_("$"* #,##0.00_);_("$"* \(#,##0.00\);_("$"* "-"??_);_(@_)</c:formatCode>
                <c:ptCount val="30"/>
                <c:pt idx="0">
                  <c:v>56664</c:v>
                </c:pt>
                <c:pt idx="1">
                  <c:v>619</c:v>
                </c:pt>
                <c:pt idx="2">
                  <c:v>15954</c:v>
                </c:pt>
                <c:pt idx="3">
                  <c:v>10112</c:v>
                </c:pt>
                <c:pt idx="4">
                  <c:v>5515</c:v>
                </c:pt>
                <c:pt idx="5">
                  <c:v>2899218</c:v>
                </c:pt>
                <c:pt idx="6">
                  <c:v>104052</c:v>
                </c:pt>
                <c:pt idx="7">
                  <c:v>218396</c:v>
                </c:pt>
                <c:pt idx="8">
                  <c:v>74782</c:v>
                </c:pt>
                <c:pt idx="9">
                  <c:v>14</c:v>
                </c:pt>
                <c:pt idx="10">
                  <c:v>44725</c:v>
                </c:pt>
                <c:pt idx="11">
                  <c:v>57313</c:v>
                </c:pt>
                <c:pt idx="12">
                  <c:v>11348</c:v>
                </c:pt>
                <c:pt idx="13">
                  <c:v>29</c:v>
                </c:pt>
                <c:pt idx="14">
                  <c:v>50036.61</c:v>
                </c:pt>
                <c:pt idx="15">
                  <c:v>125731</c:v>
                </c:pt>
                <c:pt idx="16">
                  <c:v>27848</c:v>
                </c:pt>
                <c:pt idx="17">
                  <c:v>60461</c:v>
                </c:pt>
                <c:pt idx="18">
                  <c:v>19964</c:v>
                </c:pt>
                <c:pt idx="19">
                  <c:v>15676</c:v>
                </c:pt>
                <c:pt idx="20">
                  <c:v>0</c:v>
                </c:pt>
                <c:pt idx="21">
                  <c:v>2277</c:v>
                </c:pt>
                <c:pt idx="22">
                  <c:v>50630</c:v>
                </c:pt>
                <c:pt idx="23">
                  <c:v>17709</c:v>
                </c:pt>
                <c:pt idx="24">
                  <c:v>749561</c:v>
                </c:pt>
                <c:pt idx="25">
                  <c:v>22914</c:v>
                </c:pt>
                <c:pt idx="26">
                  <c:v>45707</c:v>
                </c:pt>
                <c:pt idx="27">
                  <c:v>9273</c:v>
                </c:pt>
                <c:pt idx="28">
                  <c:v>27269</c:v>
                </c:pt>
                <c:pt idx="29">
                  <c:v>3375</c:v>
                </c:pt>
              </c:numCache>
            </c:numRef>
          </c:val>
        </c:ser>
        <c:ser>
          <c:idx val="2"/>
          <c:order val="2"/>
          <c:tx>
            <c:strRef>
              <c:f>CONCEPTOS!$E$6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CONCEPTOS!$E$7:$E$36</c:f>
              <c:numCache>
                <c:formatCode>_("$"* #,##0.00_);_("$"* \(#,##0.00\);_("$"* "-"??_);_(@_)</c:formatCode>
                <c:ptCount val="30"/>
                <c:pt idx="0">
                  <c:v>52569</c:v>
                </c:pt>
                <c:pt idx="1">
                  <c:v>1060</c:v>
                </c:pt>
                <c:pt idx="2">
                  <c:v>11324</c:v>
                </c:pt>
                <c:pt idx="3">
                  <c:v>10304</c:v>
                </c:pt>
                <c:pt idx="4">
                  <c:v>4476</c:v>
                </c:pt>
                <c:pt idx="5">
                  <c:v>3431451.61</c:v>
                </c:pt>
                <c:pt idx="6">
                  <c:v>127627.67</c:v>
                </c:pt>
                <c:pt idx="7">
                  <c:v>253091.14</c:v>
                </c:pt>
                <c:pt idx="8">
                  <c:v>88020.49</c:v>
                </c:pt>
                <c:pt idx="9">
                  <c:v>586</c:v>
                </c:pt>
                <c:pt idx="10">
                  <c:v>10166.16</c:v>
                </c:pt>
                <c:pt idx="11">
                  <c:v>69646</c:v>
                </c:pt>
                <c:pt idx="12">
                  <c:v>8385</c:v>
                </c:pt>
                <c:pt idx="13">
                  <c:v>160</c:v>
                </c:pt>
                <c:pt idx="14">
                  <c:v>55598</c:v>
                </c:pt>
                <c:pt idx="15">
                  <c:v>148435.85999999999</c:v>
                </c:pt>
                <c:pt idx="16">
                  <c:v>34268.660000000003</c:v>
                </c:pt>
                <c:pt idx="17">
                  <c:v>127295</c:v>
                </c:pt>
                <c:pt idx="18">
                  <c:v>26881</c:v>
                </c:pt>
                <c:pt idx="19">
                  <c:v>33379</c:v>
                </c:pt>
                <c:pt idx="20">
                  <c:v>3890</c:v>
                </c:pt>
                <c:pt idx="21">
                  <c:v>17450.55</c:v>
                </c:pt>
                <c:pt idx="22">
                  <c:v>49744.92</c:v>
                </c:pt>
                <c:pt idx="23">
                  <c:v>10389</c:v>
                </c:pt>
                <c:pt idx="24">
                  <c:v>840329</c:v>
                </c:pt>
                <c:pt idx="25">
                  <c:v>27589.55</c:v>
                </c:pt>
                <c:pt idx="26">
                  <c:v>52755.1</c:v>
                </c:pt>
                <c:pt idx="27">
                  <c:v>8883</c:v>
                </c:pt>
                <c:pt idx="28">
                  <c:v>40348</c:v>
                </c:pt>
                <c:pt idx="29">
                  <c:v>2967</c:v>
                </c:pt>
              </c:numCache>
            </c:numRef>
          </c:val>
        </c:ser>
        <c:ser>
          <c:idx val="3"/>
          <c:order val="3"/>
          <c:tx>
            <c:strRef>
              <c:f>CONCEPTOS!$F$6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CONCEPTOS!$F$7:$F$36</c:f>
              <c:numCache>
                <c:formatCode>_("$"* #,##0.00_);_("$"* \(#,##0.00\);_("$"* "-"??_);_(@_)</c:formatCode>
                <c:ptCount val="30"/>
                <c:pt idx="0">
                  <c:v>2750</c:v>
                </c:pt>
                <c:pt idx="1">
                  <c:v>686</c:v>
                </c:pt>
                <c:pt idx="2">
                  <c:v>22493</c:v>
                </c:pt>
                <c:pt idx="3">
                  <c:v>10309</c:v>
                </c:pt>
                <c:pt idx="4">
                  <c:v>5712</c:v>
                </c:pt>
                <c:pt idx="5">
                  <c:v>3848006</c:v>
                </c:pt>
                <c:pt idx="6">
                  <c:v>138313</c:v>
                </c:pt>
                <c:pt idx="7">
                  <c:v>283125</c:v>
                </c:pt>
                <c:pt idx="8">
                  <c:v>40631</c:v>
                </c:pt>
                <c:pt idx="9">
                  <c:v>350</c:v>
                </c:pt>
                <c:pt idx="10">
                  <c:v>10145</c:v>
                </c:pt>
                <c:pt idx="11">
                  <c:v>58007</c:v>
                </c:pt>
                <c:pt idx="12">
                  <c:v>10542</c:v>
                </c:pt>
                <c:pt idx="13">
                  <c:v>135</c:v>
                </c:pt>
                <c:pt idx="14">
                  <c:v>58986.73</c:v>
                </c:pt>
                <c:pt idx="15">
                  <c:v>159328.01999999999</c:v>
                </c:pt>
                <c:pt idx="16">
                  <c:v>35665</c:v>
                </c:pt>
                <c:pt idx="17">
                  <c:v>101345</c:v>
                </c:pt>
                <c:pt idx="18">
                  <c:v>24427</c:v>
                </c:pt>
                <c:pt idx="19">
                  <c:v>29657</c:v>
                </c:pt>
                <c:pt idx="20">
                  <c:v>762</c:v>
                </c:pt>
                <c:pt idx="21">
                  <c:v>6421</c:v>
                </c:pt>
                <c:pt idx="22">
                  <c:v>70437</c:v>
                </c:pt>
                <c:pt idx="23">
                  <c:v>16359</c:v>
                </c:pt>
                <c:pt idx="24">
                  <c:v>947353</c:v>
                </c:pt>
                <c:pt idx="25">
                  <c:v>29946</c:v>
                </c:pt>
                <c:pt idx="26">
                  <c:v>59585</c:v>
                </c:pt>
                <c:pt idx="27">
                  <c:v>10860</c:v>
                </c:pt>
                <c:pt idx="28">
                  <c:v>38136</c:v>
                </c:pt>
                <c:pt idx="29">
                  <c:v>3168</c:v>
                </c:pt>
              </c:numCache>
            </c:numRef>
          </c:val>
        </c:ser>
        <c:ser>
          <c:idx val="4"/>
          <c:order val="4"/>
          <c:tx>
            <c:strRef>
              <c:f>CONCEPTOS!$G$6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CONCEPTOS!$G$7:$G$36</c:f>
              <c:numCache>
                <c:formatCode>_("$"* #,##0.00_);_("$"* \(#,##0.00\);_("$"* "-"??_);_(@_)</c:formatCode>
                <c:ptCount val="30"/>
                <c:pt idx="0">
                  <c:v>66746</c:v>
                </c:pt>
                <c:pt idx="1">
                  <c:v>1100</c:v>
                </c:pt>
                <c:pt idx="2">
                  <c:v>25488</c:v>
                </c:pt>
                <c:pt idx="3">
                  <c:v>11573</c:v>
                </c:pt>
                <c:pt idx="4">
                  <c:v>6549</c:v>
                </c:pt>
                <c:pt idx="5">
                  <c:v>4442175</c:v>
                </c:pt>
                <c:pt idx="6">
                  <c:v>167447</c:v>
                </c:pt>
                <c:pt idx="7">
                  <c:v>336454</c:v>
                </c:pt>
                <c:pt idx="8">
                  <c:v>51142</c:v>
                </c:pt>
                <c:pt idx="9">
                  <c:v>472</c:v>
                </c:pt>
                <c:pt idx="10">
                  <c:v>18452</c:v>
                </c:pt>
                <c:pt idx="11">
                  <c:v>57021</c:v>
                </c:pt>
                <c:pt idx="12">
                  <c:v>12135</c:v>
                </c:pt>
                <c:pt idx="13">
                  <c:v>530</c:v>
                </c:pt>
                <c:pt idx="14">
                  <c:v>61585</c:v>
                </c:pt>
                <c:pt idx="15">
                  <c:v>182894</c:v>
                </c:pt>
                <c:pt idx="16">
                  <c:v>37505.760000000002</c:v>
                </c:pt>
                <c:pt idx="17">
                  <c:v>78882</c:v>
                </c:pt>
                <c:pt idx="18">
                  <c:v>27796</c:v>
                </c:pt>
                <c:pt idx="19">
                  <c:v>42604</c:v>
                </c:pt>
                <c:pt idx="20">
                  <c:v>5379</c:v>
                </c:pt>
                <c:pt idx="21">
                  <c:v>6764</c:v>
                </c:pt>
                <c:pt idx="22">
                  <c:v>101209</c:v>
                </c:pt>
                <c:pt idx="23">
                  <c:v>23244</c:v>
                </c:pt>
                <c:pt idx="24">
                  <c:v>1008844</c:v>
                </c:pt>
                <c:pt idx="25">
                  <c:v>34110</c:v>
                </c:pt>
                <c:pt idx="26">
                  <c:v>65940</c:v>
                </c:pt>
                <c:pt idx="27">
                  <c:v>10638</c:v>
                </c:pt>
                <c:pt idx="28">
                  <c:v>36496</c:v>
                </c:pt>
                <c:pt idx="29">
                  <c:v>4416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352280"/>
        <c:axId val="465353064"/>
      </c:barChart>
      <c:catAx>
        <c:axId val="465352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5353064"/>
        <c:crosses val="autoZero"/>
        <c:auto val="1"/>
        <c:lblAlgn val="ctr"/>
        <c:lblOffset val="100"/>
        <c:noMultiLvlLbl val="0"/>
      </c:catAx>
      <c:valAx>
        <c:axId val="465353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 PESOS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465352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CONCEPTOS!$B$30</c:f>
              <c:strCache>
                <c:ptCount val="1"/>
                <c:pt idx="0">
                  <c:v>RECONEXION</c:v>
                </c:pt>
              </c:strCache>
            </c:strRef>
          </c:tx>
          <c:invertIfNegative val="0"/>
          <c:cat>
            <c:numRef>
              <c:f>CONCEPTOS!$C$6:$G$6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CONCEPTOS!$C$30:$G$30</c:f>
              <c:numCache>
                <c:formatCode>_("$"* #,##0.00_);_("$"* \(#,##0.00\);_("$"* "-"??_);_(@_)</c:formatCode>
                <c:ptCount val="5"/>
                <c:pt idx="0">
                  <c:v>19699</c:v>
                </c:pt>
                <c:pt idx="1">
                  <c:v>17709</c:v>
                </c:pt>
                <c:pt idx="2">
                  <c:v>10389</c:v>
                </c:pt>
                <c:pt idx="3">
                  <c:v>16359</c:v>
                </c:pt>
                <c:pt idx="4">
                  <c:v>23244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354240"/>
        <c:axId val="465351888"/>
      </c:barChart>
      <c:catAx>
        <c:axId val="4653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5351888"/>
        <c:crosses val="autoZero"/>
        <c:auto val="1"/>
        <c:lblAlgn val="ctr"/>
        <c:lblOffset val="100"/>
        <c:noMultiLvlLbl val="0"/>
      </c:catAx>
      <c:valAx>
        <c:axId val="46535188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65354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glow rad="127000">
        <a:schemeClr val="accent2">
          <a:lumMod val="60000"/>
          <a:lumOff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CONCEPTOS!$B$17</c:f>
              <c:strCache>
                <c:ptCount val="1"/>
                <c:pt idx="0">
                  <c:v>GASTOS DE EJECUCION</c:v>
                </c:pt>
              </c:strCache>
            </c:strRef>
          </c:tx>
          <c:cat>
            <c:numRef>
              <c:f>CONCEPTOS!$C$6:$G$6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CONCEPTOS!$C$17:$G$17</c:f>
              <c:numCache>
                <c:formatCode>_("$"* #,##0.00_);_("$"* \(#,##0.00\);_("$"* "-"??_);_(@_)</c:formatCode>
                <c:ptCount val="5"/>
                <c:pt idx="0">
                  <c:v>43201.06</c:v>
                </c:pt>
                <c:pt idx="1">
                  <c:v>44725</c:v>
                </c:pt>
                <c:pt idx="2">
                  <c:v>10166.16</c:v>
                </c:pt>
                <c:pt idx="3">
                  <c:v>10145</c:v>
                </c:pt>
                <c:pt idx="4">
                  <c:v>18452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47896"/>
        <c:axId val="464951816"/>
      </c:lineChart>
      <c:catAx>
        <c:axId val="46494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4951816"/>
        <c:crosses val="autoZero"/>
        <c:auto val="1"/>
        <c:lblAlgn val="ctr"/>
        <c:lblOffset val="100"/>
        <c:noMultiLvlLbl val="0"/>
      </c:catAx>
      <c:valAx>
        <c:axId val="46495181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64947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DE</a:t>
            </a:r>
            <a:r>
              <a:rPr lang="en-US" baseline="0"/>
              <a:t> INGRESO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CONCEPTOS!$B$37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CONCEPTOS!$C$6:$G$6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CONCEPTOS!$C$37:$G$37</c:f>
              <c:numCache>
                <c:formatCode>General</c:formatCode>
                <c:ptCount val="5"/>
                <c:pt idx="0" formatCode="_(&quot;$&quot;* #,##0.00_);_(&quot;$&quot;* \(#,##0.00\);_(&quot;$&quot;* &quot;-&quot;??_);_(@_)">
                  <c:v>4402728.76</c:v>
                </c:pt>
                <c:pt idx="1">
                  <c:v>4653935.6099999994</c:v>
                </c:pt>
                <c:pt idx="2">
                  <c:v>5484117.71</c:v>
                </c:pt>
                <c:pt idx="3" formatCode="_(&quot;$&quot;* #,##0.00_);_(&quot;$&quot;* \(#,##0.00\);_(&quot;$&quot;* &quot;-&quot;??_);_(@_)">
                  <c:v>6023639.75</c:v>
                </c:pt>
                <c:pt idx="4" formatCode="_(&quot;$&quot;* #,##0.00_);_(&quot;$&quot;* \(#,##0.00\);_(&quot;$&quot;* &quot;-&quot;??_);_(@_)">
                  <c:v>6925590.7599999998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464948680"/>
        <c:axId val="464949072"/>
      </c:barChart>
      <c:catAx>
        <c:axId val="46494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4949072"/>
        <c:crosses val="autoZero"/>
        <c:auto val="1"/>
        <c:lblAlgn val="ctr"/>
        <c:lblOffset val="100"/>
        <c:noMultiLvlLbl val="0"/>
      </c:catAx>
      <c:valAx>
        <c:axId val="464949072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4649486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CONCEPTOS!$B$15</c:f>
              <c:strCache>
                <c:ptCount val="1"/>
                <c:pt idx="0">
                  <c:v>DESCUENTO O ESTIMULO PAGO ANUAL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CONCEPTOS!$C$6:$G$6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CONCEPTOS!$C$15:$G$15</c:f>
              <c:numCache>
                <c:formatCode>_("$"* #,##0.00_);_("$"* \(#,##0.00\);_("$"* "-"??_);_(@_)</c:formatCode>
                <c:ptCount val="5"/>
                <c:pt idx="0">
                  <c:v>61217</c:v>
                </c:pt>
                <c:pt idx="1">
                  <c:v>74782</c:v>
                </c:pt>
                <c:pt idx="2">
                  <c:v>88020.49</c:v>
                </c:pt>
                <c:pt idx="3">
                  <c:v>40631</c:v>
                </c:pt>
                <c:pt idx="4">
                  <c:v>51142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5352672"/>
        <c:axId val="464949464"/>
      </c:barChart>
      <c:catAx>
        <c:axId val="46535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4949464"/>
        <c:crosses val="autoZero"/>
        <c:auto val="1"/>
        <c:lblAlgn val="ctr"/>
        <c:lblOffset val="100"/>
        <c:noMultiLvlLbl val="0"/>
      </c:catAx>
      <c:valAx>
        <c:axId val="464949464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653526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</a:t>
            </a:r>
            <a:r>
              <a:rPr lang="es-MX" baseline="0"/>
              <a:t> TRIMESTRAL</a:t>
            </a:r>
            <a:endParaRPr lang="es-MX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CONCEPTOS!$I$6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CONCEPTOS!$B$7:$B$36</c:f>
              <c:strCache>
                <c:ptCount val="30"/>
                <c:pt idx="0">
                  <c:v>AGUA EN PIPAS</c:v>
                </c:pt>
                <c:pt idx="1">
                  <c:v>CAMBIO DE TITULAR</c:v>
                </c:pt>
                <c:pt idx="2">
                  <c:v>CONSUMO ESTIMADO</c:v>
                </c:pt>
                <c:pt idx="3">
                  <c:v>CONTRATO DE AGUA POTABLE</c:v>
                </c:pt>
                <c:pt idx="4">
                  <c:v>CONTRATO DE DESCARGA DE AGUA RESIDU</c:v>
                </c:pt>
                <c:pt idx="5">
                  <c:v>CUENTA CORRIENTE DE AGUA</c:v>
                </c:pt>
                <c:pt idx="6">
                  <c:v>CUENTA CORRIENTE DE DRENAJE</c:v>
                </c:pt>
                <c:pt idx="7">
                  <c:v>CUENTA CORRIENTE DE SANEAMIENTO</c:v>
                </c:pt>
                <c:pt idx="8">
                  <c:v>DESCUENTO O ESTIMULO PAGO ANUAL</c:v>
                </c:pt>
                <c:pt idx="9">
                  <c:v>DUPLICADO DE RECIBO</c:v>
                </c:pt>
                <c:pt idx="10">
                  <c:v>GASTOS DE EJECUCION</c:v>
                </c:pt>
                <c:pt idx="11">
                  <c:v>INCORPORACION INDIVIDUAL AGUA POTAB</c:v>
                </c:pt>
                <c:pt idx="12">
                  <c:v>INCORPORACION INDIVIDUAL DE DRENAJE</c:v>
                </c:pt>
                <c:pt idx="13">
                  <c:v>INTERESES CONVENIO</c:v>
                </c:pt>
                <c:pt idx="14">
                  <c:v>IVA</c:v>
                </c:pt>
                <c:pt idx="15">
                  <c:v>IVA DE CUENTA CORRIENTE</c:v>
                </c:pt>
                <c:pt idx="16">
                  <c:v>IVA DE REZAGO DE AGUA</c:v>
                </c:pt>
                <c:pt idx="17">
                  <c:v>MATERIALES  E INSTALACION  DEL RAMA</c:v>
                </c:pt>
                <c:pt idx="18">
                  <c:v>MATERIALES E INTALACION DE CUADRO D</c:v>
                </c:pt>
                <c:pt idx="19">
                  <c:v>MATERIALES E INTALACION PARA DESCAR</c:v>
                </c:pt>
                <c:pt idx="20">
                  <c:v>METRO ADICIONAL TERRACERIA</c:v>
                </c:pt>
                <c:pt idx="21">
                  <c:v>MULTA</c:v>
                </c:pt>
                <c:pt idx="22">
                  <c:v>RECARGOS</c:v>
                </c:pt>
                <c:pt idx="23">
                  <c:v>RECONEXION</c:v>
                </c:pt>
                <c:pt idx="24">
                  <c:v>REZAGO DE AGUA</c:v>
                </c:pt>
                <c:pt idx="25">
                  <c:v>REZAGO DE DRENAJE</c:v>
                </c:pt>
                <c:pt idx="26">
                  <c:v>REZAGO DE SANEAMIENTO</c:v>
                </c:pt>
                <c:pt idx="27">
                  <c:v>SUMINISTRO  DE AGUA TRATADA</c:v>
                </c:pt>
                <c:pt idx="28">
                  <c:v>SUMINISTRO E INTALACION DE MEDIDORE</c:v>
                </c:pt>
                <c:pt idx="29">
                  <c:v>SUSPENCION VOLUNTARIA</c:v>
                </c:pt>
              </c:strCache>
            </c:strRef>
          </c:cat>
          <c:val>
            <c:numRef>
              <c:f>CONCEPTOS!$I$7:$I$36</c:f>
              <c:numCache>
                <c:formatCode>"$"#,###.00</c:formatCode>
                <c:ptCount val="30"/>
                <c:pt idx="0">
                  <c:v>139943</c:v>
                </c:pt>
                <c:pt idx="1">
                  <c:v>1249</c:v>
                </c:pt>
                <c:pt idx="2">
                  <c:v>9137</c:v>
                </c:pt>
                <c:pt idx="3">
                  <c:v>20628.52</c:v>
                </c:pt>
                <c:pt idx="4">
                  <c:v>46180</c:v>
                </c:pt>
                <c:pt idx="5">
                  <c:v>5699873.7199999997</c:v>
                </c:pt>
                <c:pt idx="6">
                  <c:v>200091</c:v>
                </c:pt>
                <c:pt idx="7">
                  <c:v>399997.6</c:v>
                </c:pt>
                <c:pt idx="8">
                  <c:v>61217</c:v>
                </c:pt>
                <c:pt idx="9">
                  <c:v>119</c:v>
                </c:pt>
                <c:pt idx="10">
                  <c:v>79763.06</c:v>
                </c:pt>
                <c:pt idx="11">
                  <c:v>107766</c:v>
                </c:pt>
                <c:pt idx="12">
                  <c:v>84293</c:v>
                </c:pt>
                <c:pt idx="13">
                  <c:v>226</c:v>
                </c:pt>
                <c:pt idx="14">
                  <c:v>90396.4</c:v>
                </c:pt>
                <c:pt idx="15">
                  <c:v>229590</c:v>
                </c:pt>
                <c:pt idx="16">
                  <c:v>27595.43</c:v>
                </c:pt>
                <c:pt idx="17">
                  <c:v>131958.23000000001</c:v>
                </c:pt>
                <c:pt idx="18">
                  <c:v>36157</c:v>
                </c:pt>
                <c:pt idx="19">
                  <c:v>62000</c:v>
                </c:pt>
                <c:pt idx="20">
                  <c:v>7227</c:v>
                </c:pt>
                <c:pt idx="21">
                  <c:v>24328</c:v>
                </c:pt>
                <c:pt idx="22">
                  <c:v>100645.07</c:v>
                </c:pt>
                <c:pt idx="23">
                  <c:v>36186</c:v>
                </c:pt>
                <c:pt idx="24">
                  <c:v>724191</c:v>
                </c:pt>
                <c:pt idx="25">
                  <c:v>21582</c:v>
                </c:pt>
                <c:pt idx="26">
                  <c:v>42688</c:v>
                </c:pt>
                <c:pt idx="27">
                  <c:v>24441.599999999999</c:v>
                </c:pt>
                <c:pt idx="28">
                  <c:v>52165</c:v>
                </c:pt>
                <c:pt idx="29">
                  <c:v>5250</c:v>
                </c:pt>
              </c:numCache>
            </c:numRef>
          </c:val>
        </c:ser>
        <c:ser>
          <c:idx val="1"/>
          <c:order val="1"/>
          <c:tx>
            <c:strRef>
              <c:f>CONCEPTOS!$J$6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CONCEPTOS!$B$7:$B$36</c:f>
              <c:strCache>
                <c:ptCount val="30"/>
                <c:pt idx="0">
                  <c:v>AGUA EN PIPAS</c:v>
                </c:pt>
                <c:pt idx="1">
                  <c:v>CAMBIO DE TITULAR</c:v>
                </c:pt>
                <c:pt idx="2">
                  <c:v>CONSUMO ESTIMADO</c:v>
                </c:pt>
                <c:pt idx="3">
                  <c:v>CONTRATO DE AGUA POTABLE</c:v>
                </c:pt>
                <c:pt idx="4">
                  <c:v>CONTRATO DE DESCARGA DE AGUA RESIDU</c:v>
                </c:pt>
                <c:pt idx="5">
                  <c:v>CUENTA CORRIENTE DE AGUA</c:v>
                </c:pt>
                <c:pt idx="6">
                  <c:v>CUENTA CORRIENTE DE DRENAJE</c:v>
                </c:pt>
                <c:pt idx="7">
                  <c:v>CUENTA CORRIENTE DE SANEAMIENTO</c:v>
                </c:pt>
                <c:pt idx="8">
                  <c:v>DESCUENTO O ESTIMULO PAGO ANUAL</c:v>
                </c:pt>
                <c:pt idx="9">
                  <c:v>DUPLICADO DE RECIBO</c:v>
                </c:pt>
                <c:pt idx="10">
                  <c:v>GASTOS DE EJECUCION</c:v>
                </c:pt>
                <c:pt idx="11">
                  <c:v>INCORPORACION INDIVIDUAL AGUA POTAB</c:v>
                </c:pt>
                <c:pt idx="12">
                  <c:v>INCORPORACION INDIVIDUAL DE DRENAJE</c:v>
                </c:pt>
                <c:pt idx="13">
                  <c:v>INTERESES CONVENIO</c:v>
                </c:pt>
                <c:pt idx="14">
                  <c:v>IVA</c:v>
                </c:pt>
                <c:pt idx="15">
                  <c:v>IVA DE CUENTA CORRIENTE</c:v>
                </c:pt>
                <c:pt idx="16">
                  <c:v>IVA DE REZAGO DE AGUA</c:v>
                </c:pt>
                <c:pt idx="17">
                  <c:v>MATERIALES  E INSTALACION  DEL RAMA</c:v>
                </c:pt>
                <c:pt idx="18">
                  <c:v>MATERIALES E INTALACION DE CUADRO D</c:v>
                </c:pt>
                <c:pt idx="19">
                  <c:v>MATERIALES E INTALACION PARA DESCAR</c:v>
                </c:pt>
                <c:pt idx="20">
                  <c:v>METRO ADICIONAL TERRACERIA</c:v>
                </c:pt>
                <c:pt idx="21">
                  <c:v>MULTA</c:v>
                </c:pt>
                <c:pt idx="22">
                  <c:v>RECARGOS</c:v>
                </c:pt>
                <c:pt idx="23">
                  <c:v>RECONEXION</c:v>
                </c:pt>
                <c:pt idx="24">
                  <c:v>REZAGO DE AGUA</c:v>
                </c:pt>
                <c:pt idx="25">
                  <c:v>REZAGO DE DRENAJE</c:v>
                </c:pt>
                <c:pt idx="26">
                  <c:v>REZAGO DE SANEAMIENTO</c:v>
                </c:pt>
                <c:pt idx="27">
                  <c:v>SUMINISTRO  DE AGUA TRATADA</c:v>
                </c:pt>
                <c:pt idx="28">
                  <c:v>SUMINISTRO E INTALACION DE MEDIDORE</c:v>
                </c:pt>
                <c:pt idx="29">
                  <c:v>SUSPENCION VOLUNTARIA</c:v>
                </c:pt>
              </c:strCache>
            </c:strRef>
          </c:cat>
          <c:val>
            <c:numRef>
              <c:f>CONCEPTOS!$J$7:$J$36</c:f>
              <c:numCache>
                <c:formatCode>"$"#,###.00</c:formatCode>
                <c:ptCount val="30"/>
                <c:pt idx="0">
                  <c:v>109230</c:v>
                </c:pt>
                <c:pt idx="1">
                  <c:v>962</c:v>
                </c:pt>
                <c:pt idx="2">
                  <c:v>18330</c:v>
                </c:pt>
                <c:pt idx="3">
                  <c:v>19328</c:v>
                </c:pt>
                <c:pt idx="4">
                  <c:v>10763</c:v>
                </c:pt>
                <c:pt idx="5">
                  <c:v>6281022</c:v>
                </c:pt>
                <c:pt idx="6">
                  <c:v>220830</c:v>
                </c:pt>
                <c:pt idx="7">
                  <c:v>457486</c:v>
                </c:pt>
                <c:pt idx="8">
                  <c:v>74782</c:v>
                </c:pt>
                <c:pt idx="9">
                  <c:v>42</c:v>
                </c:pt>
                <c:pt idx="10">
                  <c:v>63865.5</c:v>
                </c:pt>
                <c:pt idx="11">
                  <c:v>109481</c:v>
                </c:pt>
                <c:pt idx="12">
                  <c:v>20328</c:v>
                </c:pt>
                <c:pt idx="13">
                  <c:v>453</c:v>
                </c:pt>
                <c:pt idx="14">
                  <c:v>98150.64</c:v>
                </c:pt>
                <c:pt idx="15">
                  <c:v>272765</c:v>
                </c:pt>
                <c:pt idx="16">
                  <c:v>28268.07</c:v>
                </c:pt>
                <c:pt idx="17">
                  <c:v>142964</c:v>
                </c:pt>
                <c:pt idx="18">
                  <c:v>38821</c:v>
                </c:pt>
                <c:pt idx="19">
                  <c:v>30383</c:v>
                </c:pt>
                <c:pt idx="20" formatCode="General">
                  <c:v>0</c:v>
                </c:pt>
                <c:pt idx="21">
                  <c:v>13723</c:v>
                </c:pt>
                <c:pt idx="22">
                  <c:v>97045</c:v>
                </c:pt>
                <c:pt idx="23">
                  <c:v>30624</c:v>
                </c:pt>
                <c:pt idx="24">
                  <c:v>758332</c:v>
                </c:pt>
                <c:pt idx="25">
                  <c:v>23190</c:v>
                </c:pt>
                <c:pt idx="26">
                  <c:v>46086</c:v>
                </c:pt>
                <c:pt idx="27">
                  <c:v>22282.97</c:v>
                </c:pt>
                <c:pt idx="28">
                  <c:v>57810</c:v>
                </c:pt>
                <c:pt idx="29">
                  <c:v>6375</c:v>
                </c:pt>
              </c:numCache>
            </c:numRef>
          </c:val>
        </c:ser>
        <c:ser>
          <c:idx val="2"/>
          <c:order val="2"/>
          <c:tx>
            <c:strRef>
              <c:f>CONCEPTOS!$K$6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CONCEPTOS!$B$7:$B$36</c:f>
              <c:strCache>
                <c:ptCount val="30"/>
                <c:pt idx="0">
                  <c:v>AGUA EN PIPAS</c:v>
                </c:pt>
                <c:pt idx="1">
                  <c:v>CAMBIO DE TITULAR</c:v>
                </c:pt>
                <c:pt idx="2">
                  <c:v>CONSUMO ESTIMADO</c:v>
                </c:pt>
                <c:pt idx="3">
                  <c:v>CONTRATO DE AGUA POTABLE</c:v>
                </c:pt>
                <c:pt idx="4">
                  <c:v>CONTRATO DE DESCARGA DE AGUA RESIDU</c:v>
                </c:pt>
                <c:pt idx="5">
                  <c:v>CUENTA CORRIENTE DE AGUA</c:v>
                </c:pt>
                <c:pt idx="6">
                  <c:v>CUENTA CORRIENTE DE DRENAJE</c:v>
                </c:pt>
                <c:pt idx="7">
                  <c:v>CUENTA CORRIENTE DE SANEAMIENTO</c:v>
                </c:pt>
                <c:pt idx="8">
                  <c:v>DESCUENTO O ESTIMULO PAGO ANUAL</c:v>
                </c:pt>
                <c:pt idx="9">
                  <c:v>DUPLICADO DE RECIBO</c:v>
                </c:pt>
                <c:pt idx="10">
                  <c:v>GASTOS DE EJECUCION</c:v>
                </c:pt>
                <c:pt idx="11">
                  <c:v>INCORPORACION INDIVIDUAL AGUA POTAB</c:v>
                </c:pt>
                <c:pt idx="12">
                  <c:v>INCORPORACION INDIVIDUAL DE DRENAJE</c:v>
                </c:pt>
                <c:pt idx="13">
                  <c:v>INTERESES CONVENIO</c:v>
                </c:pt>
                <c:pt idx="14">
                  <c:v>IVA</c:v>
                </c:pt>
                <c:pt idx="15">
                  <c:v>IVA DE CUENTA CORRIENTE</c:v>
                </c:pt>
                <c:pt idx="16">
                  <c:v>IVA DE REZAGO DE AGUA</c:v>
                </c:pt>
                <c:pt idx="17">
                  <c:v>MATERIALES  E INSTALACION  DEL RAMA</c:v>
                </c:pt>
                <c:pt idx="18">
                  <c:v>MATERIALES E INTALACION DE CUADRO D</c:v>
                </c:pt>
                <c:pt idx="19">
                  <c:v>MATERIALES E INTALACION PARA DESCAR</c:v>
                </c:pt>
                <c:pt idx="20">
                  <c:v>METRO ADICIONAL TERRACERIA</c:v>
                </c:pt>
                <c:pt idx="21">
                  <c:v>MULTA</c:v>
                </c:pt>
                <c:pt idx="22">
                  <c:v>RECARGOS</c:v>
                </c:pt>
                <c:pt idx="23">
                  <c:v>RECONEXION</c:v>
                </c:pt>
                <c:pt idx="24">
                  <c:v>REZAGO DE AGUA</c:v>
                </c:pt>
                <c:pt idx="25">
                  <c:v>REZAGO DE DRENAJE</c:v>
                </c:pt>
                <c:pt idx="26">
                  <c:v>REZAGO DE SANEAMIENTO</c:v>
                </c:pt>
                <c:pt idx="27">
                  <c:v>SUMINISTRO  DE AGUA TRATADA</c:v>
                </c:pt>
                <c:pt idx="28">
                  <c:v>SUMINISTRO E INTALACION DE MEDIDORE</c:v>
                </c:pt>
                <c:pt idx="29">
                  <c:v>SUSPENCION VOLUNTARIA</c:v>
                </c:pt>
              </c:strCache>
            </c:strRef>
          </c:cat>
          <c:val>
            <c:numRef>
              <c:f>CONCEPTOS!$K$7:$K$36</c:f>
              <c:numCache>
                <c:formatCode>"$"#,###.00</c:formatCode>
                <c:ptCount val="30"/>
                <c:pt idx="0">
                  <c:v>61680</c:v>
                </c:pt>
                <c:pt idx="1">
                  <c:v>1614</c:v>
                </c:pt>
                <c:pt idx="2">
                  <c:v>15896</c:v>
                </c:pt>
                <c:pt idx="3">
                  <c:v>17356</c:v>
                </c:pt>
                <c:pt idx="4">
                  <c:v>7376</c:v>
                </c:pt>
                <c:pt idx="5">
                  <c:v>7203617.6100000003</c:v>
                </c:pt>
                <c:pt idx="6">
                  <c:v>258262.67</c:v>
                </c:pt>
                <c:pt idx="7">
                  <c:v>513446.14</c:v>
                </c:pt>
                <c:pt idx="8">
                  <c:v>88020.49</c:v>
                </c:pt>
                <c:pt idx="9">
                  <c:v>928</c:v>
                </c:pt>
                <c:pt idx="10">
                  <c:v>25327.16</c:v>
                </c:pt>
                <c:pt idx="11">
                  <c:v>107958</c:v>
                </c:pt>
                <c:pt idx="12">
                  <c:v>13990</c:v>
                </c:pt>
                <c:pt idx="13">
                  <c:v>254</c:v>
                </c:pt>
                <c:pt idx="14">
                  <c:v>90571.41</c:v>
                </c:pt>
                <c:pt idx="15">
                  <c:v>302364.34000000003</c:v>
                </c:pt>
                <c:pt idx="16">
                  <c:v>35284.660000000003</c:v>
                </c:pt>
                <c:pt idx="17">
                  <c:v>204055</c:v>
                </c:pt>
                <c:pt idx="18">
                  <c:v>42763</c:v>
                </c:pt>
                <c:pt idx="19">
                  <c:v>57409</c:v>
                </c:pt>
                <c:pt idx="20">
                  <c:v>5087</c:v>
                </c:pt>
                <c:pt idx="21">
                  <c:v>28046</c:v>
                </c:pt>
                <c:pt idx="22">
                  <c:v>107831.92</c:v>
                </c:pt>
                <c:pt idx="23">
                  <c:v>22152</c:v>
                </c:pt>
                <c:pt idx="24">
                  <c:v>849616</c:v>
                </c:pt>
                <c:pt idx="25">
                  <c:v>27701.55</c:v>
                </c:pt>
                <c:pt idx="26">
                  <c:v>52961.1</c:v>
                </c:pt>
                <c:pt idx="27">
                  <c:v>16885</c:v>
                </c:pt>
                <c:pt idx="28">
                  <c:v>63037</c:v>
                </c:pt>
                <c:pt idx="29">
                  <c:v>4773</c:v>
                </c:pt>
              </c:numCache>
            </c:numRef>
          </c:val>
        </c:ser>
        <c:ser>
          <c:idx val="3"/>
          <c:order val="3"/>
          <c:tx>
            <c:strRef>
              <c:f>CONCEPTOS!$L$6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CONCEPTOS!$B$7:$B$36</c:f>
              <c:strCache>
                <c:ptCount val="30"/>
                <c:pt idx="0">
                  <c:v>AGUA EN PIPAS</c:v>
                </c:pt>
                <c:pt idx="1">
                  <c:v>CAMBIO DE TITULAR</c:v>
                </c:pt>
                <c:pt idx="2">
                  <c:v>CONSUMO ESTIMADO</c:v>
                </c:pt>
                <c:pt idx="3">
                  <c:v>CONTRATO DE AGUA POTABLE</c:v>
                </c:pt>
                <c:pt idx="4">
                  <c:v>CONTRATO DE DESCARGA DE AGUA RESIDU</c:v>
                </c:pt>
                <c:pt idx="5">
                  <c:v>CUENTA CORRIENTE DE AGUA</c:v>
                </c:pt>
                <c:pt idx="6">
                  <c:v>CUENTA CORRIENTE DE DRENAJE</c:v>
                </c:pt>
                <c:pt idx="7">
                  <c:v>CUENTA CORRIENTE DE SANEAMIENTO</c:v>
                </c:pt>
                <c:pt idx="8">
                  <c:v>DESCUENTO O ESTIMULO PAGO ANUAL</c:v>
                </c:pt>
                <c:pt idx="9">
                  <c:v>DUPLICADO DE RECIBO</c:v>
                </c:pt>
                <c:pt idx="10">
                  <c:v>GASTOS DE EJECUCION</c:v>
                </c:pt>
                <c:pt idx="11">
                  <c:v>INCORPORACION INDIVIDUAL AGUA POTAB</c:v>
                </c:pt>
                <c:pt idx="12">
                  <c:v>INCORPORACION INDIVIDUAL DE DRENAJE</c:v>
                </c:pt>
                <c:pt idx="13">
                  <c:v>INTERESES CONVENIO</c:v>
                </c:pt>
                <c:pt idx="14">
                  <c:v>IVA</c:v>
                </c:pt>
                <c:pt idx="15">
                  <c:v>IVA DE CUENTA CORRIENTE</c:v>
                </c:pt>
                <c:pt idx="16">
                  <c:v>IVA DE REZAGO DE AGUA</c:v>
                </c:pt>
                <c:pt idx="17">
                  <c:v>MATERIALES  E INSTALACION  DEL RAMA</c:v>
                </c:pt>
                <c:pt idx="18">
                  <c:v>MATERIALES E INTALACION DE CUADRO D</c:v>
                </c:pt>
                <c:pt idx="19">
                  <c:v>MATERIALES E INTALACION PARA DESCAR</c:v>
                </c:pt>
                <c:pt idx="20">
                  <c:v>METRO ADICIONAL TERRACERIA</c:v>
                </c:pt>
                <c:pt idx="21">
                  <c:v>MULTA</c:v>
                </c:pt>
                <c:pt idx="22">
                  <c:v>RECARGOS</c:v>
                </c:pt>
                <c:pt idx="23">
                  <c:v>RECONEXION</c:v>
                </c:pt>
                <c:pt idx="24">
                  <c:v>REZAGO DE AGUA</c:v>
                </c:pt>
                <c:pt idx="25">
                  <c:v>REZAGO DE DRENAJE</c:v>
                </c:pt>
                <c:pt idx="26">
                  <c:v>REZAGO DE SANEAMIENTO</c:v>
                </c:pt>
                <c:pt idx="27">
                  <c:v>SUMINISTRO  DE AGUA TRATADA</c:v>
                </c:pt>
                <c:pt idx="28">
                  <c:v>SUMINISTRO E INTALACION DE MEDIDORE</c:v>
                </c:pt>
                <c:pt idx="29">
                  <c:v>SUSPENCION VOLUNTARIA</c:v>
                </c:pt>
              </c:strCache>
            </c:strRef>
          </c:cat>
          <c:val>
            <c:numRef>
              <c:f>CONCEPTOS!$L$7:$L$36</c:f>
              <c:numCache>
                <c:formatCode>"$"#,###.00</c:formatCode>
                <c:ptCount val="30"/>
                <c:pt idx="0">
                  <c:v>2745</c:v>
                </c:pt>
                <c:pt idx="1">
                  <c:v>1400</c:v>
                </c:pt>
                <c:pt idx="2">
                  <c:v>27893</c:v>
                </c:pt>
                <c:pt idx="3">
                  <c:v>21181</c:v>
                </c:pt>
                <c:pt idx="4">
                  <c:v>13357</c:v>
                </c:pt>
                <c:pt idx="5">
                  <c:v>8206013</c:v>
                </c:pt>
                <c:pt idx="6">
                  <c:v>283433</c:v>
                </c:pt>
                <c:pt idx="7">
                  <c:v>578307</c:v>
                </c:pt>
                <c:pt idx="8">
                  <c:v>37133</c:v>
                </c:pt>
                <c:pt idx="9">
                  <c:v>593.05999999999995</c:v>
                </c:pt>
                <c:pt idx="10">
                  <c:v>27554</c:v>
                </c:pt>
                <c:pt idx="11">
                  <c:v>116585</c:v>
                </c:pt>
                <c:pt idx="12">
                  <c:v>25407</c:v>
                </c:pt>
                <c:pt idx="13">
                  <c:v>396</c:v>
                </c:pt>
                <c:pt idx="14">
                  <c:v>116031.64</c:v>
                </c:pt>
                <c:pt idx="15">
                  <c:v>339223.02</c:v>
                </c:pt>
                <c:pt idx="16">
                  <c:v>35787.74</c:v>
                </c:pt>
                <c:pt idx="17">
                  <c:v>208522</c:v>
                </c:pt>
                <c:pt idx="18">
                  <c:v>47781</c:v>
                </c:pt>
                <c:pt idx="19" formatCode="&quot;$&quot;#,##0.00">
                  <c:v>88379</c:v>
                </c:pt>
                <c:pt idx="20">
                  <c:v>4461</c:v>
                </c:pt>
                <c:pt idx="21">
                  <c:v>12531</c:v>
                </c:pt>
                <c:pt idx="22">
                  <c:v>150948.6</c:v>
                </c:pt>
                <c:pt idx="23">
                  <c:v>38504</c:v>
                </c:pt>
                <c:pt idx="24">
                  <c:v>954128</c:v>
                </c:pt>
                <c:pt idx="25">
                  <c:v>30104</c:v>
                </c:pt>
                <c:pt idx="26">
                  <c:v>59865</c:v>
                </c:pt>
                <c:pt idx="27">
                  <c:v>12720</c:v>
                </c:pt>
                <c:pt idx="28">
                  <c:v>76101</c:v>
                </c:pt>
                <c:pt idx="29">
                  <c:v>6072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4950640"/>
        <c:axId val="464950248"/>
      </c:barChart>
      <c:catAx>
        <c:axId val="46495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CONCEPTO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64950248"/>
        <c:crosses val="autoZero"/>
        <c:auto val="1"/>
        <c:lblAlgn val="ctr"/>
        <c:lblOffset val="100"/>
        <c:noMultiLvlLbl val="0"/>
      </c:catAx>
      <c:valAx>
        <c:axId val="464950248"/>
        <c:scaling>
          <c:orientation val="minMax"/>
        </c:scaling>
        <c:delete val="0"/>
        <c:axPos val="l"/>
        <c:title>
          <c:overlay val="0"/>
        </c:title>
        <c:numFmt formatCode="&quot;$&quot;#,###.00" sourceLinked="1"/>
        <c:majorTickMark val="out"/>
        <c:minorTickMark val="none"/>
        <c:tickLblPos val="nextTo"/>
        <c:crossAx val="46495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10</xdr:row>
      <xdr:rowOff>19049</xdr:rowOff>
    </xdr:from>
    <xdr:to>
      <xdr:col>15</xdr:col>
      <xdr:colOff>638175</xdr:colOff>
      <xdr:row>27</xdr:row>
      <xdr:rowOff>95250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719235</xdr:colOff>
      <xdr:row>25</xdr:row>
      <xdr:rowOff>134906</xdr:rowOff>
    </xdr:from>
    <xdr:to>
      <xdr:col>12</xdr:col>
      <xdr:colOff>616210</xdr:colOff>
      <xdr:row>44</xdr:row>
      <xdr:rowOff>108080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8554</xdr:rowOff>
    </xdr:from>
    <xdr:to>
      <xdr:col>5</xdr:col>
      <xdr:colOff>655087</xdr:colOff>
      <xdr:row>44</xdr:row>
      <xdr:rowOff>127519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748393</xdr:colOff>
      <xdr:row>46</xdr:row>
      <xdr:rowOff>8553</xdr:rowOff>
    </xdr:from>
    <xdr:to>
      <xdr:col>12</xdr:col>
      <xdr:colOff>602602</xdr:colOff>
      <xdr:row>64</xdr:row>
      <xdr:rowOff>127519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85531</xdr:colOff>
      <xdr:row>46</xdr:row>
      <xdr:rowOff>86309</xdr:rowOff>
    </xdr:from>
    <xdr:to>
      <xdr:col>5</xdr:col>
      <xdr:colOff>740618</xdr:colOff>
      <xdr:row>65</xdr:row>
      <xdr:rowOff>59484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133350</xdr:rowOff>
    </xdr:from>
    <xdr:to>
      <xdr:col>6</xdr:col>
      <xdr:colOff>0</xdr:colOff>
      <xdr:row>35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285749</xdr:colOff>
      <xdr:row>15</xdr:row>
      <xdr:rowOff>114300</xdr:rowOff>
    </xdr:from>
    <xdr:to>
      <xdr:col>13</xdr:col>
      <xdr:colOff>657224</xdr:colOff>
      <xdr:row>35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5</xdr:row>
      <xdr:rowOff>133349</xdr:rowOff>
    </xdr:from>
    <xdr:to>
      <xdr:col>13</xdr:col>
      <xdr:colOff>38100</xdr:colOff>
      <xdr:row>27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11</xdr:row>
      <xdr:rowOff>142875</xdr:rowOff>
    </xdr:from>
    <xdr:to>
      <xdr:col>13</xdr:col>
      <xdr:colOff>819150</xdr:colOff>
      <xdr:row>26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13</xdr:row>
      <xdr:rowOff>0</xdr:rowOff>
    </xdr:from>
    <xdr:to>
      <xdr:col>14</xdr:col>
      <xdr:colOff>38099</xdr:colOff>
      <xdr:row>32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73</xdr:row>
      <xdr:rowOff>0</xdr:rowOff>
    </xdr:from>
    <xdr:to>
      <xdr:col>3</xdr:col>
      <xdr:colOff>971550</xdr:colOff>
      <xdr:row>87</xdr:row>
      <xdr:rowOff>76200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685800</xdr:colOff>
      <xdr:row>56</xdr:row>
      <xdr:rowOff>152400</xdr:rowOff>
    </xdr:from>
    <xdr:to>
      <xdr:col>13</xdr:col>
      <xdr:colOff>333375</xdr:colOff>
      <xdr:row>71</xdr:row>
      <xdr:rowOff>38100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438150</xdr:colOff>
      <xdr:row>39</xdr:row>
      <xdr:rowOff>28575</xdr:rowOff>
    </xdr:from>
    <xdr:to>
      <xdr:col>13</xdr:col>
      <xdr:colOff>85725</xdr:colOff>
      <xdr:row>53</xdr:row>
      <xdr:rowOff>57150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54</xdr:row>
      <xdr:rowOff>142875</xdr:rowOff>
    </xdr:from>
    <xdr:to>
      <xdr:col>3</xdr:col>
      <xdr:colOff>981075</xdr:colOff>
      <xdr:row>69</xdr:row>
      <xdr:rowOff>28575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38</xdr:row>
      <xdr:rowOff>180975</xdr:rowOff>
    </xdr:from>
    <xdr:to>
      <xdr:col>3</xdr:col>
      <xdr:colOff>990600</xdr:colOff>
      <xdr:row>53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457200</xdr:colOff>
      <xdr:row>6</xdr:row>
      <xdr:rowOff>85725</xdr:rowOff>
    </xdr:from>
    <xdr:to>
      <xdr:col>20</xdr:col>
      <xdr:colOff>457200</xdr:colOff>
      <xdr:row>21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29</xdr:row>
      <xdr:rowOff>9525</xdr:rowOff>
    </xdr:from>
    <xdr:to>
      <xdr:col>9</xdr:col>
      <xdr:colOff>9525</xdr:colOff>
      <xdr:row>48</xdr:row>
      <xdr:rowOff>38100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29</xdr:row>
      <xdr:rowOff>0</xdr:rowOff>
    </xdr:from>
    <xdr:to>
      <xdr:col>16</xdr:col>
      <xdr:colOff>95250</xdr:colOff>
      <xdr:row>48</xdr:row>
      <xdr:rowOff>28575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9524</xdr:colOff>
      <xdr:row>50</xdr:row>
      <xdr:rowOff>114300</xdr:rowOff>
    </xdr:from>
    <xdr:to>
      <xdr:col>8</xdr:col>
      <xdr:colOff>761999</xdr:colOff>
      <xdr:row>70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571500</xdr:colOff>
      <xdr:row>50</xdr:row>
      <xdr:rowOff>57150</xdr:rowOff>
    </xdr:from>
    <xdr:to>
      <xdr:col>16</xdr:col>
      <xdr:colOff>57150</xdr:colOff>
      <xdr:row>69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428625</xdr:colOff>
      <xdr:row>73</xdr:row>
      <xdr:rowOff>19050</xdr:rowOff>
    </xdr:from>
    <xdr:to>
      <xdr:col>12</xdr:col>
      <xdr:colOff>333375</xdr:colOff>
      <xdr:row>92</xdr:row>
      <xdr:rowOff>47625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21</xdr:row>
      <xdr:rowOff>38100</xdr:rowOff>
    </xdr:from>
    <xdr:to>
      <xdr:col>6</xdr:col>
      <xdr:colOff>733425</xdr:colOff>
      <xdr:row>40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21</xdr:row>
      <xdr:rowOff>57150</xdr:rowOff>
    </xdr:from>
    <xdr:to>
      <xdr:col>14</xdr:col>
      <xdr:colOff>47625</xdr:colOff>
      <xdr:row>40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733425</xdr:colOff>
      <xdr:row>3</xdr:row>
      <xdr:rowOff>19050</xdr:rowOff>
    </xdr:from>
    <xdr:to>
      <xdr:col>21</xdr:col>
      <xdr:colOff>752475</xdr:colOff>
      <xdr:row>22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266699</xdr:colOff>
      <xdr:row>24</xdr:row>
      <xdr:rowOff>76200</xdr:rowOff>
    </xdr:from>
    <xdr:to>
      <xdr:col>22</xdr:col>
      <xdr:colOff>9524</xdr:colOff>
      <xdr:row>42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45</xdr:row>
      <xdr:rowOff>114300</xdr:rowOff>
    </xdr:from>
    <xdr:to>
      <xdr:col>7</xdr:col>
      <xdr:colOff>190499</xdr:colOff>
      <xdr:row>65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46</xdr:row>
      <xdr:rowOff>9525</xdr:rowOff>
    </xdr:from>
    <xdr:to>
      <xdr:col>13</xdr:col>
      <xdr:colOff>628650</xdr:colOff>
      <xdr:row>65</xdr:row>
      <xdr:rowOff>38100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54</xdr:row>
      <xdr:rowOff>76200</xdr:rowOff>
    </xdr:from>
    <xdr:to>
      <xdr:col>5</xdr:col>
      <xdr:colOff>142875</xdr:colOff>
      <xdr:row>74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704849</xdr:colOff>
      <xdr:row>54</xdr:row>
      <xdr:rowOff>76200</xdr:rowOff>
    </xdr:from>
    <xdr:to>
      <xdr:col>13</xdr:col>
      <xdr:colOff>733424</xdr:colOff>
      <xdr:row>73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wnloads/indicadores%202017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ERCIAL%20CMAPAS/Downloads/ingresos%20recaudados%20mensual%20vo.bo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m3 entregados"/>
      <sheetName val="EXTRA - FACT"/>
      <sheetName val="EXTRACC. POZOS"/>
      <sheetName val="TRATAMIENTO DE AGUA"/>
      <sheetName val="SIOO17"/>
      <sheetName val="INGRESO POR RANGOS"/>
      <sheetName val="GRAFICOS POR USO"/>
      <sheetName val="eficiencias"/>
      <sheetName val="ORDENES "/>
      <sheetName val="DISTRI  C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F22">
            <v>63161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</sheetNames>
    <sheetDataSet>
      <sheetData sheetId="0">
        <row r="4">
          <cell r="F4">
            <v>17575.04</v>
          </cell>
          <cell r="J4">
            <v>23884</v>
          </cell>
        </row>
        <row r="5">
          <cell r="J5">
            <v>0</v>
          </cell>
        </row>
        <row r="6">
          <cell r="J6">
            <v>711808.78</v>
          </cell>
        </row>
        <row r="7">
          <cell r="J7">
            <v>1204</v>
          </cell>
        </row>
        <row r="8">
          <cell r="J8">
            <v>2094</v>
          </cell>
        </row>
        <row r="9">
          <cell r="J9">
            <v>88</v>
          </cell>
        </row>
        <row r="10">
          <cell r="J10">
            <v>11739</v>
          </cell>
        </row>
        <row r="11">
          <cell r="J11">
            <v>880</v>
          </cell>
        </row>
        <row r="16">
          <cell r="J16">
            <v>5608</v>
          </cell>
        </row>
        <row r="17">
          <cell r="J17">
            <v>2164</v>
          </cell>
        </row>
        <row r="18">
          <cell r="J18">
            <v>18914</v>
          </cell>
        </row>
        <row r="22">
          <cell r="J22">
            <v>666</v>
          </cell>
        </row>
        <row r="23">
          <cell r="J23">
            <v>15550</v>
          </cell>
        </row>
        <row r="25">
          <cell r="J25">
            <v>10191</v>
          </cell>
        </row>
        <row r="26">
          <cell r="J26">
            <v>47543</v>
          </cell>
        </row>
        <row r="27">
          <cell r="J27">
            <v>0</v>
          </cell>
        </row>
        <row r="30">
          <cell r="J30">
            <v>863513.78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"/>
  <sheetViews>
    <sheetView workbookViewId="0">
      <selection activeCell="O8" sqref="O8"/>
    </sheetView>
  </sheetViews>
  <sheetFormatPr baseColWidth="10" defaultRowHeight="15" x14ac:dyDescent="0.25"/>
  <sheetData>
    <row r="2" spans="2:16" x14ac:dyDescent="0.25">
      <c r="G2" s="140" t="s">
        <v>6</v>
      </c>
      <c r="H2" s="140"/>
      <c r="I2" s="140"/>
    </row>
    <row r="4" spans="2:16" x14ac:dyDescent="0.25">
      <c r="B4" s="8"/>
      <c r="C4" s="8"/>
      <c r="D4" s="28" t="s">
        <v>0</v>
      </c>
      <c r="E4" s="28" t="s">
        <v>1</v>
      </c>
      <c r="F4" s="28" t="s">
        <v>2</v>
      </c>
      <c r="G4" s="28" t="s">
        <v>3</v>
      </c>
      <c r="H4" s="28" t="s">
        <v>4</v>
      </c>
      <c r="I4" s="28" t="s">
        <v>5</v>
      </c>
      <c r="J4" s="28" t="s">
        <v>43</v>
      </c>
      <c r="K4" s="28" t="s">
        <v>92</v>
      </c>
      <c r="L4" s="19" t="s">
        <v>99</v>
      </c>
      <c r="M4" s="19" t="s">
        <v>100</v>
      </c>
      <c r="N4" s="19" t="s">
        <v>101</v>
      </c>
      <c r="O4" s="19" t="s">
        <v>102</v>
      </c>
      <c r="P4" s="8"/>
    </row>
    <row r="5" spans="2:16" x14ac:dyDescent="0.25">
      <c r="B5" s="8"/>
      <c r="C5" s="5">
        <v>2016</v>
      </c>
      <c r="D5" s="5">
        <v>51372</v>
      </c>
      <c r="E5" s="5">
        <v>47575</v>
      </c>
      <c r="F5" s="5">
        <v>45382</v>
      </c>
      <c r="G5" s="5">
        <v>53014</v>
      </c>
      <c r="H5" s="5">
        <v>47284</v>
      </c>
      <c r="I5" s="5">
        <v>52758</v>
      </c>
      <c r="J5" s="5">
        <v>48552</v>
      </c>
      <c r="K5" s="5">
        <v>49922</v>
      </c>
      <c r="L5" s="5">
        <v>45450</v>
      </c>
      <c r="M5" s="5">
        <v>48290</v>
      </c>
      <c r="N5" s="5">
        <v>50424</v>
      </c>
      <c r="O5" s="5">
        <v>44301</v>
      </c>
      <c r="P5" s="8">
        <f>SUM(D5:O5)</f>
        <v>584324</v>
      </c>
    </row>
    <row r="6" spans="2:16" x14ac:dyDescent="0.25">
      <c r="B6" s="8"/>
      <c r="C6" s="5">
        <v>2017</v>
      </c>
      <c r="D6" s="5">
        <v>55193</v>
      </c>
      <c r="E6" s="5">
        <v>53485</v>
      </c>
      <c r="F6" s="5">
        <v>52950</v>
      </c>
      <c r="G6" s="5">
        <v>57061</v>
      </c>
      <c r="H6" s="5">
        <v>56096</v>
      </c>
      <c r="I6" s="5">
        <v>61770</v>
      </c>
      <c r="J6" s="5">
        <v>58615</v>
      </c>
      <c r="K6" s="5">
        <v>52433</v>
      </c>
      <c r="L6" s="5">
        <v>50411</v>
      </c>
      <c r="M6" s="5">
        <v>48612</v>
      </c>
      <c r="N6" s="5">
        <v>41402</v>
      </c>
      <c r="O6" s="5">
        <v>45763</v>
      </c>
      <c r="P6" s="8">
        <f>SUM(D6:O6)</f>
        <v>633791</v>
      </c>
    </row>
    <row r="7" spans="2:16" x14ac:dyDescent="0.25">
      <c r="B7" s="8"/>
      <c r="C7" s="5">
        <v>2018</v>
      </c>
      <c r="D7" s="56">
        <v>49553</v>
      </c>
      <c r="E7" s="56">
        <v>53271</v>
      </c>
      <c r="F7" s="56">
        <v>57838</v>
      </c>
      <c r="G7" s="56">
        <v>56373</v>
      </c>
      <c r="H7" s="56">
        <v>56126</v>
      </c>
      <c r="I7" s="56">
        <v>60555</v>
      </c>
      <c r="J7" s="5">
        <v>55945</v>
      </c>
      <c r="K7" s="5">
        <v>61867</v>
      </c>
      <c r="L7" s="5">
        <v>54138</v>
      </c>
      <c r="M7" s="5">
        <v>52221</v>
      </c>
      <c r="N7" s="5">
        <v>52203</v>
      </c>
      <c r="O7" s="5">
        <v>49957</v>
      </c>
      <c r="P7" s="8">
        <f>SUM(D7:O7)</f>
        <v>660047</v>
      </c>
    </row>
    <row r="8" spans="2:16" x14ac:dyDescent="0.25">
      <c r="B8" s="8"/>
      <c r="C8" s="113">
        <v>2019</v>
      </c>
      <c r="D8" s="133">
        <v>62714</v>
      </c>
      <c r="E8" s="5">
        <v>54577</v>
      </c>
      <c r="F8" s="5">
        <v>63015</v>
      </c>
      <c r="G8" s="5">
        <f>+'[1]GRAFICOS POR USO'!$F$22</f>
        <v>63161</v>
      </c>
      <c r="H8" s="5">
        <v>69269</v>
      </c>
      <c r="I8" s="5">
        <v>75425</v>
      </c>
      <c r="J8" s="134">
        <v>60451</v>
      </c>
      <c r="K8" s="5">
        <v>58340</v>
      </c>
      <c r="L8" s="5">
        <v>56496</v>
      </c>
      <c r="M8" s="5">
        <v>61712</v>
      </c>
      <c r="N8" s="5">
        <v>57428</v>
      </c>
      <c r="O8" s="5"/>
      <c r="P8" s="8">
        <f>SUM(D8:O8)</f>
        <v>682588</v>
      </c>
    </row>
  </sheetData>
  <mergeCells count="1">
    <mergeCell ref="G2:I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"/>
  <sheetViews>
    <sheetView topLeftCell="A10" zoomScale="98" zoomScaleNormal="98" workbookViewId="0">
      <selection activeCell="F70" sqref="F70"/>
    </sheetView>
  </sheetViews>
  <sheetFormatPr baseColWidth="10" defaultRowHeight="11.25" x14ac:dyDescent="0.2"/>
  <cols>
    <col min="1" max="1" width="11.42578125" style="65"/>
    <col min="2" max="2" width="12.7109375" style="65" customWidth="1"/>
    <col min="3" max="3" width="11.42578125" style="65"/>
    <col min="4" max="4" width="11.85546875" style="65" customWidth="1"/>
    <col min="5" max="6" width="11.5703125" style="65" bestFit="1" customWidth="1"/>
    <col min="7" max="7" width="17.42578125" style="65" bestFit="1" customWidth="1"/>
    <col min="8" max="11" width="11.5703125" style="65" bestFit="1" customWidth="1"/>
    <col min="12" max="12" width="12.5703125" style="65" bestFit="1" customWidth="1"/>
    <col min="13" max="13" width="11.5703125" style="65" bestFit="1" customWidth="1"/>
    <col min="14" max="16384" width="11.42578125" style="65"/>
  </cols>
  <sheetData>
    <row r="3" spans="1:12" x14ac:dyDescent="0.2">
      <c r="D3" s="150" t="s">
        <v>116</v>
      </c>
      <c r="E3" s="151"/>
      <c r="F3" s="151"/>
      <c r="G3" s="151"/>
      <c r="H3" s="151"/>
      <c r="I3" s="152"/>
    </row>
    <row r="5" spans="1:12" x14ac:dyDescent="0.2">
      <c r="C5" s="65">
        <v>2018</v>
      </c>
      <c r="D5" s="125"/>
      <c r="E5" s="125"/>
      <c r="F5" s="124"/>
      <c r="G5" s="124">
        <v>2019</v>
      </c>
      <c r="H5" s="124"/>
      <c r="I5" s="124"/>
      <c r="J5" s="124"/>
    </row>
    <row r="6" spans="1:12" x14ac:dyDescent="0.2">
      <c r="A6" s="149" t="s">
        <v>117</v>
      </c>
      <c r="B6" s="80"/>
      <c r="C6" s="5" t="s">
        <v>4</v>
      </c>
      <c r="D6" s="5" t="s">
        <v>5</v>
      </c>
      <c r="E6" s="132">
        <v>43435</v>
      </c>
      <c r="F6" s="76"/>
      <c r="G6" s="132">
        <v>43647</v>
      </c>
      <c r="H6" s="72"/>
      <c r="I6" s="72"/>
      <c r="J6" s="72"/>
      <c r="K6" s="72"/>
      <c r="L6" s="72"/>
    </row>
    <row r="7" spans="1:12" x14ac:dyDescent="0.2">
      <c r="A7" s="149"/>
      <c r="B7" s="81" t="s">
        <v>96</v>
      </c>
      <c r="C7" s="5">
        <v>111.13</v>
      </c>
      <c r="D7" s="16">
        <v>112.3</v>
      </c>
      <c r="E7" s="5">
        <v>108.68</v>
      </c>
      <c r="F7" s="76"/>
      <c r="G7" s="16">
        <v>108.68</v>
      </c>
      <c r="H7" s="72"/>
      <c r="I7" s="72"/>
      <c r="J7" s="72"/>
      <c r="K7" s="72"/>
      <c r="L7" s="72"/>
    </row>
    <row r="8" spans="1:12" x14ac:dyDescent="0.2">
      <c r="A8" s="149"/>
      <c r="B8" s="67" t="s">
        <v>97</v>
      </c>
      <c r="C8" s="63">
        <v>170</v>
      </c>
      <c r="D8" s="16">
        <v>170.7</v>
      </c>
      <c r="E8" s="5">
        <v>171</v>
      </c>
      <c r="G8" s="16">
        <v>171.9</v>
      </c>
      <c r="H8" s="72"/>
      <c r="I8" s="72"/>
      <c r="J8" s="72"/>
      <c r="K8" s="72"/>
      <c r="L8" s="72"/>
    </row>
    <row r="9" spans="1:12" x14ac:dyDescent="0.2">
      <c r="A9" s="149"/>
      <c r="B9" s="67" t="s">
        <v>118</v>
      </c>
      <c r="C9" s="63">
        <v>111</v>
      </c>
      <c r="D9" s="5">
        <v>197</v>
      </c>
      <c r="E9" s="5">
        <v>113</v>
      </c>
      <c r="G9" s="5">
        <v>113</v>
      </c>
    </row>
    <row r="10" spans="1:12" x14ac:dyDescent="0.2">
      <c r="A10" s="149"/>
      <c r="B10" s="66" t="s">
        <v>98</v>
      </c>
      <c r="C10" s="63">
        <v>147.85</v>
      </c>
      <c r="D10" s="5">
        <v>146.18</v>
      </c>
      <c r="E10" s="5">
        <v>147.6</v>
      </c>
      <c r="G10" s="5">
        <v>147.6</v>
      </c>
    </row>
    <row r="11" spans="1:12" x14ac:dyDescent="0.2">
      <c r="A11" s="149"/>
      <c r="B11" s="66" t="s">
        <v>94</v>
      </c>
      <c r="C11" s="5">
        <v>158.18</v>
      </c>
      <c r="D11" s="5">
        <v>160</v>
      </c>
      <c r="E11" s="5">
        <v>158.30000000000001</v>
      </c>
      <c r="G11" s="5">
        <v>158.30000000000001</v>
      </c>
    </row>
    <row r="12" spans="1:12" x14ac:dyDescent="0.2">
      <c r="A12" s="149"/>
      <c r="B12" s="5" t="s">
        <v>95</v>
      </c>
      <c r="C12" s="5"/>
      <c r="D12" s="5">
        <v>182.4</v>
      </c>
      <c r="E12" s="5">
        <v>183.16</v>
      </c>
      <c r="G12" s="5">
        <v>183.16</v>
      </c>
    </row>
    <row r="13" spans="1:12" x14ac:dyDescent="0.2">
      <c r="C13" s="122"/>
      <c r="D13" s="122"/>
      <c r="E13" s="129">
        <f>SUM(E7:E12)</f>
        <v>881.7399999999999</v>
      </c>
      <c r="F13" s="127"/>
      <c r="G13" s="129">
        <f>SUM(G7:G12)</f>
        <v>882.64</v>
      </c>
      <c r="H13" s="127"/>
      <c r="I13" s="127"/>
      <c r="J13" s="127"/>
      <c r="K13" s="127"/>
    </row>
    <row r="14" spans="1:12" x14ac:dyDescent="0.2">
      <c r="C14" s="122"/>
      <c r="D14" s="122"/>
      <c r="E14" s="17">
        <f>+E13/6</f>
        <v>146.95666666666665</v>
      </c>
      <c r="F14" s="122"/>
      <c r="G14" s="17">
        <f>+G13/6</f>
        <v>147.10666666666665</v>
      </c>
      <c r="H14" s="122"/>
      <c r="I14" s="122"/>
      <c r="J14" s="122"/>
      <c r="K14" s="122"/>
      <c r="L14" s="61"/>
    </row>
    <row r="15" spans="1:12" x14ac:dyDescent="0.2">
      <c r="C15" s="153">
        <v>2018</v>
      </c>
      <c r="D15" s="153"/>
      <c r="E15" s="123"/>
      <c r="F15" s="123"/>
      <c r="G15" s="123"/>
      <c r="H15" s="123"/>
      <c r="I15" s="123"/>
      <c r="J15" s="123"/>
      <c r="K15" s="123"/>
      <c r="L15" s="73"/>
    </row>
    <row r="16" spans="1:12" x14ac:dyDescent="0.2">
      <c r="E16" s="73"/>
      <c r="F16" s="73"/>
      <c r="G16" s="73"/>
      <c r="H16" s="73"/>
      <c r="I16" s="73"/>
      <c r="J16" s="73"/>
      <c r="K16" s="73"/>
      <c r="L16" s="73"/>
    </row>
    <row r="17" spans="1:12" x14ac:dyDescent="0.2">
      <c r="A17" s="149" t="s">
        <v>119</v>
      </c>
      <c r="B17" s="77"/>
      <c r="C17" s="63" t="s">
        <v>4</v>
      </c>
      <c r="D17" s="63" t="s">
        <v>5</v>
      </c>
      <c r="E17" s="5" t="s">
        <v>102</v>
      </c>
      <c r="F17" s="74"/>
      <c r="G17" s="16" t="s">
        <v>91</v>
      </c>
      <c r="H17" s="74"/>
      <c r="I17" s="74"/>
      <c r="J17" s="74"/>
      <c r="K17" s="74"/>
      <c r="L17" s="75"/>
    </row>
    <row r="18" spans="1:12" x14ac:dyDescent="0.2">
      <c r="A18" s="149"/>
      <c r="B18" s="78" t="s">
        <v>96</v>
      </c>
      <c r="C18" s="5">
        <v>113.2</v>
      </c>
      <c r="D18" s="16">
        <v>114.15</v>
      </c>
      <c r="E18" s="5">
        <v>111.5</v>
      </c>
      <c r="G18" s="5">
        <v>123</v>
      </c>
    </row>
    <row r="19" spans="1:12" x14ac:dyDescent="0.2">
      <c r="A19" s="149"/>
      <c r="B19" s="79" t="s">
        <v>97</v>
      </c>
      <c r="C19" s="63">
        <v>170.07</v>
      </c>
      <c r="D19" s="16">
        <v>198</v>
      </c>
      <c r="E19" s="5">
        <v>190.7</v>
      </c>
      <c r="G19" s="5">
        <v>190.9</v>
      </c>
    </row>
    <row r="20" spans="1:12" x14ac:dyDescent="0.2">
      <c r="A20" s="149"/>
      <c r="B20" s="79" t="s">
        <v>118</v>
      </c>
      <c r="C20" s="63">
        <v>119.7</v>
      </c>
      <c r="D20" s="5">
        <v>111</v>
      </c>
      <c r="E20" s="5">
        <v>120</v>
      </c>
      <c r="F20" s="126"/>
      <c r="G20" s="130">
        <v>125.41</v>
      </c>
      <c r="H20" s="127"/>
      <c r="I20" s="127"/>
      <c r="J20" s="127"/>
      <c r="K20" s="127"/>
      <c r="L20" s="127"/>
    </row>
    <row r="21" spans="1:12" x14ac:dyDescent="0.2">
      <c r="A21" s="149"/>
      <c r="B21" s="78" t="s">
        <v>98</v>
      </c>
      <c r="C21" s="63">
        <v>152.87</v>
      </c>
      <c r="D21" s="5">
        <v>115.23</v>
      </c>
      <c r="E21" s="5">
        <v>151.85</v>
      </c>
      <c r="F21" s="122"/>
      <c r="G21" s="113">
        <v>156.09</v>
      </c>
      <c r="H21" s="122"/>
      <c r="I21" s="122"/>
      <c r="J21" s="122"/>
      <c r="K21" s="122"/>
      <c r="L21" s="122"/>
    </row>
    <row r="22" spans="1:12" x14ac:dyDescent="0.2">
      <c r="A22" s="149"/>
      <c r="B22" s="78" t="s">
        <v>94</v>
      </c>
      <c r="C22" s="5">
        <v>160.54</v>
      </c>
      <c r="D22" s="5">
        <v>158.18</v>
      </c>
      <c r="E22" s="5">
        <v>160.30000000000001</v>
      </c>
      <c r="F22" s="128"/>
      <c r="G22" s="131">
        <v>160.68</v>
      </c>
      <c r="H22" s="128"/>
      <c r="I22" s="128"/>
      <c r="J22" s="128"/>
      <c r="K22" s="128"/>
      <c r="L22" s="128"/>
    </row>
    <row r="23" spans="1:12" x14ac:dyDescent="0.2">
      <c r="A23" s="149"/>
      <c r="B23" s="78" t="s">
        <v>95</v>
      </c>
      <c r="C23" s="5"/>
      <c r="D23" s="5">
        <v>222.5</v>
      </c>
      <c r="E23" s="5">
        <v>185.84</v>
      </c>
      <c r="G23" s="5">
        <v>185.84</v>
      </c>
    </row>
    <row r="24" spans="1:12" x14ac:dyDescent="0.2">
      <c r="E24" s="5">
        <f>SUM(E18:E23)</f>
        <v>920.18999999999994</v>
      </c>
      <c r="G24" s="5">
        <f>SUM(G18:G23)</f>
        <v>941.92</v>
      </c>
    </row>
    <row r="25" spans="1:12" x14ac:dyDescent="0.2">
      <c r="E25" s="17">
        <f>+E24/6</f>
        <v>153.36499999999998</v>
      </c>
      <c r="G25" s="17">
        <f>+G24/6</f>
        <v>156.98666666666665</v>
      </c>
    </row>
    <row r="26" spans="1:12" x14ac:dyDescent="0.2">
      <c r="G26" s="72"/>
    </row>
  </sheetData>
  <mergeCells count="4">
    <mergeCell ref="A17:A23"/>
    <mergeCell ref="A6:A12"/>
    <mergeCell ref="D3:I3"/>
    <mergeCell ref="C15:D1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"/>
  <sheetViews>
    <sheetView workbookViewId="0">
      <selection activeCell="K14" sqref="K14:L14"/>
    </sheetView>
  </sheetViews>
  <sheetFormatPr baseColWidth="10" defaultRowHeight="11.25" x14ac:dyDescent="0.2"/>
  <cols>
    <col min="1" max="16384" width="11.42578125" style="8"/>
  </cols>
  <sheetData>
    <row r="3" spans="1:14" s="116" customFormat="1" x14ac:dyDescent="0.25"/>
    <row r="5" spans="1:14" x14ac:dyDescent="0.2">
      <c r="G5" s="145">
        <v>2017</v>
      </c>
      <c r="H5" s="145"/>
    </row>
    <row r="6" spans="1:14" x14ac:dyDescent="0.2">
      <c r="B6" s="117" t="s">
        <v>0</v>
      </c>
      <c r="C6" s="117" t="s">
        <v>1</v>
      </c>
      <c r="D6" s="117" t="s">
        <v>2</v>
      </c>
      <c r="E6" s="117" t="s">
        <v>3</v>
      </c>
      <c r="F6" s="117" t="s">
        <v>4</v>
      </c>
      <c r="G6" s="117" t="s">
        <v>5</v>
      </c>
      <c r="H6" s="117" t="s">
        <v>43</v>
      </c>
      <c r="I6" s="117" t="s">
        <v>92</v>
      </c>
      <c r="J6" s="117" t="s">
        <v>99</v>
      </c>
      <c r="K6" s="117" t="s">
        <v>100</v>
      </c>
      <c r="L6" s="117" t="s">
        <v>101</v>
      </c>
      <c r="M6" s="117" t="s">
        <v>102</v>
      </c>
      <c r="N6" s="10"/>
    </row>
    <row r="7" spans="1:14" x14ac:dyDescent="0.2">
      <c r="A7" s="117" t="s">
        <v>127</v>
      </c>
      <c r="B7" s="4">
        <v>2232</v>
      </c>
      <c r="C7" s="4">
        <v>1695</v>
      </c>
      <c r="D7" s="4">
        <v>837</v>
      </c>
      <c r="E7" s="4">
        <v>1719</v>
      </c>
      <c r="F7" s="4">
        <v>2232</v>
      </c>
      <c r="G7" s="4">
        <v>1674</v>
      </c>
      <c r="H7" s="4">
        <v>2790</v>
      </c>
      <c r="I7" s="4">
        <v>2790</v>
      </c>
      <c r="J7" s="4">
        <v>3393</v>
      </c>
      <c r="K7" s="4">
        <v>558</v>
      </c>
      <c r="L7" s="4">
        <v>1116</v>
      </c>
      <c r="M7" s="4">
        <v>1116</v>
      </c>
      <c r="N7" s="4">
        <f>SUM(B7:M7)</f>
        <v>22152</v>
      </c>
    </row>
    <row r="8" spans="1:14" ht="22.5" x14ac:dyDescent="0.2">
      <c r="A8" s="67" t="s">
        <v>126</v>
      </c>
      <c r="B8" s="5">
        <f>+B7/279</f>
        <v>8</v>
      </c>
      <c r="C8" s="5">
        <v>6</v>
      </c>
      <c r="D8" s="5">
        <f t="shared" ref="D8:M8" si="0">+D7/279</f>
        <v>3</v>
      </c>
      <c r="E8" s="5">
        <v>6</v>
      </c>
      <c r="F8" s="5">
        <f t="shared" si="0"/>
        <v>8</v>
      </c>
      <c r="G8" s="5">
        <f t="shared" si="0"/>
        <v>6</v>
      </c>
      <c r="H8" s="5">
        <f t="shared" si="0"/>
        <v>10</v>
      </c>
      <c r="I8" s="5">
        <f t="shared" si="0"/>
        <v>10</v>
      </c>
      <c r="J8" s="5">
        <v>12</v>
      </c>
      <c r="K8" s="5">
        <f t="shared" si="0"/>
        <v>2</v>
      </c>
      <c r="L8" s="5">
        <f t="shared" si="0"/>
        <v>4</v>
      </c>
      <c r="M8" s="5">
        <f t="shared" si="0"/>
        <v>4</v>
      </c>
      <c r="N8" s="5">
        <f>SUM(B8:M8)</f>
        <v>79</v>
      </c>
    </row>
    <row r="9" spans="1:14" x14ac:dyDescent="0.2">
      <c r="G9" s="145">
        <v>2018</v>
      </c>
      <c r="H9" s="145"/>
    </row>
    <row r="10" spans="1:14" x14ac:dyDescent="0.2">
      <c r="A10" s="117" t="s">
        <v>127</v>
      </c>
      <c r="B10" s="4">
        <v>3444</v>
      </c>
      <c r="C10" s="4">
        <v>2296</v>
      </c>
      <c r="D10" s="4">
        <v>2009</v>
      </c>
      <c r="E10" s="4">
        <v>287</v>
      </c>
      <c r="F10" s="4">
        <v>6027</v>
      </c>
      <c r="G10" s="4">
        <v>2296</v>
      </c>
      <c r="H10" s="4">
        <v>4879</v>
      </c>
      <c r="I10" s="4">
        <v>4592</v>
      </c>
      <c r="J10" s="4">
        <v>2870</v>
      </c>
      <c r="K10" s="4">
        <v>3157</v>
      </c>
      <c r="L10" s="4">
        <v>3731</v>
      </c>
      <c r="M10" s="4">
        <v>2916</v>
      </c>
      <c r="N10" s="11">
        <f>SUM(B10:M10)</f>
        <v>38504</v>
      </c>
    </row>
    <row r="11" spans="1:14" ht="22.5" x14ac:dyDescent="0.2">
      <c r="A11" s="67" t="s">
        <v>126</v>
      </c>
      <c r="B11" s="5">
        <f>+B10/287</f>
        <v>12</v>
      </c>
      <c r="C11" s="5">
        <f t="shared" ref="C11:L11" si="1">+C10/287</f>
        <v>8</v>
      </c>
      <c r="D11" s="5">
        <f t="shared" si="1"/>
        <v>7</v>
      </c>
      <c r="E11" s="5">
        <f t="shared" si="1"/>
        <v>1</v>
      </c>
      <c r="F11" s="5">
        <f t="shared" si="1"/>
        <v>21</v>
      </c>
      <c r="G11" s="5">
        <f t="shared" si="1"/>
        <v>8</v>
      </c>
      <c r="H11" s="5">
        <f t="shared" si="1"/>
        <v>17</v>
      </c>
      <c r="I11" s="5">
        <f t="shared" si="1"/>
        <v>16</v>
      </c>
      <c r="J11" s="5">
        <f t="shared" si="1"/>
        <v>10</v>
      </c>
      <c r="K11" s="5">
        <f t="shared" si="1"/>
        <v>11</v>
      </c>
      <c r="L11" s="5">
        <f t="shared" si="1"/>
        <v>13</v>
      </c>
      <c r="M11" s="5">
        <v>10</v>
      </c>
      <c r="N11" s="5">
        <f>SUM(B11:M11)</f>
        <v>134</v>
      </c>
    </row>
    <row r="13" spans="1:14" x14ac:dyDescent="0.2">
      <c r="A13" s="116"/>
      <c r="G13" s="150">
        <v>2019</v>
      </c>
      <c r="H13" s="152"/>
      <c r="N13" s="116"/>
    </row>
    <row r="14" spans="1:14" x14ac:dyDescent="0.2">
      <c r="A14" s="5" t="s">
        <v>127</v>
      </c>
      <c r="B14" s="4">
        <v>1192</v>
      </c>
      <c r="C14" s="4">
        <v>3576</v>
      </c>
      <c r="D14" s="4">
        <v>2380</v>
      </c>
      <c r="E14" s="4">
        <v>5070</v>
      </c>
      <c r="F14" s="4">
        <v>4768</v>
      </c>
      <c r="G14" s="4">
        <v>6258</v>
      </c>
      <c r="H14" s="4">
        <v>2682</v>
      </c>
      <c r="I14" s="4">
        <v>3576</v>
      </c>
      <c r="J14" s="4">
        <v>5359.12</v>
      </c>
      <c r="K14" s="4">
        <v>1952.67</v>
      </c>
      <c r="L14" s="4">
        <v>722.67</v>
      </c>
      <c r="M14" s="5"/>
      <c r="N14" s="11">
        <f>SUM(B14:M14)</f>
        <v>37536.46</v>
      </c>
    </row>
    <row r="15" spans="1:14" ht="22.5" x14ac:dyDescent="0.2">
      <c r="A15" s="120" t="s">
        <v>126</v>
      </c>
      <c r="B15" s="118">
        <f>+B14/298</f>
        <v>4</v>
      </c>
      <c r="C15" s="118">
        <f t="shared" ref="C15:M15" si="2">+C14/298</f>
        <v>12</v>
      </c>
      <c r="D15" s="118">
        <v>8</v>
      </c>
      <c r="E15" s="118">
        <v>17</v>
      </c>
      <c r="F15" s="118">
        <f t="shared" si="2"/>
        <v>16</v>
      </c>
      <c r="G15" s="118">
        <f t="shared" si="2"/>
        <v>21</v>
      </c>
      <c r="H15" s="118">
        <f t="shared" si="2"/>
        <v>9</v>
      </c>
      <c r="I15" s="118">
        <f t="shared" si="2"/>
        <v>12</v>
      </c>
      <c r="J15" s="118">
        <v>18</v>
      </c>
      <c r="K15" s="118">
        <v>6</v>
      </c>
      <c r="L15" s="118">
        <v>2</v>
      </c>
      <c r="M15" s="118">
        <f t="shared" si="2"/>
        <v>0</v>
      </c>
      <c r="N15" s="119">
        <f>SUM(B15:M15)</f>
        <v>125</v>
      </c>
    </row>
  </sheetData>
  <mergeCells count="3">
    <mergeCell ref="G5:H5"/>
    <mergeCell ref="G9:H9"/>
    <mergeCell ref="G13:H1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topLeftCell="A13" workbookViewId="0">
      <selection activeCell="N12" sqref="N12"/>
    </sheetView>
  </sheetViews>
  <sheetFormatPr baseColWidth="10" defaultRowHeight="11.25" x14ac:dyDescent="0.2"/>
  <cols>
    <col min="1" max="2" width="11.42578125" style="8"/>
    <col min="3" max="13" width="11.7109375" style="8" bestFit="1" customWidth="1"/>
    <col min="14" max="16384" width="11.42578125" style="8"/>
  </cols>
  <sheetData>
    <row r="2" spans="2:13" x14ac:dyDescent="0.2">
      <c r="F2" s="154" t="s">
        <v>137</v>
      </c>
      <c r="G2" s="154"/>
      <c r="H2" s="154"/>
    </row>
    <row r="3" spans="2:13" x14ac:dyDescent="0.2">
      <c r="B3" s="5" t="s">
        <v>135</v>
      </c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  <c r="L3" s="5">
        <v>2018</v>
      </c>
      <c r="M3" s="5">
        <v>2019</v>
      </c>
    </row>
    <row r="4" spans="2:13" x14ac:dyDescent="0.2">
      <c r="B4" s="5" t="s">
        <v>138</v>
      </c>
      <c r="C4" s="5">
        <v>4255</v>
      </c>
      <c r="D4" s="5">
        <v>4141</v>
      </c>
      <c r="E4" s="5">
        <v>3026</v>
      </c>
      <c r="F4" s="5">
        <v>3906</v>
      </c>
      <c r="G4" s="5">
        <v>4367</v>
      </c>
      <c r="H4" s="5">
        <v>4951</v>
      </c>
      <c r="I4" s="5">
        <v>5148</v>
      </c>
      <c r="J4" s="5">
        <v>5192</v>
      </c>
      <c r="K4" s="5">
        <v>5326</v>
      </c>
      <c r="L4" s="5">
        <v>5280</v>
      </c>
      <c r="M4" s="5">
        <v>5415</v>
      </c>
    </row>
    <row r="5" spans="2:13" ht="33.75" x14ac:dyDescent="0.2">
      <c r="B5" s="15" t="s">
        <v>136</v>
      </c>
      <c r="C5" s="4">
        <v>3715111</v>
      </c>
      <c r="D5" s="4">
        <v>4233556</v>
      </c>
      <c r="E5" s="4">
        <v>3300102</v>
      </c>
      <c r="F5" s="4">
        <v>4684766</v>
      </c>
      <c r="G5" s="4">
        <v>4258698</v>
      </c>
      <c r="H5" s="4">
        <v>5373335</v>
      </c>
      <c r="I5" s="4">
        <v>5585062</v>
      </c>
      <c r="J5" s="4">
        <v>6199550</v>
      </c>
      <c r="K5" s="4">
        <v>7296633.3800000008</v>
      </c>
      <c r="L5" s="4">
        <v>8026238</v>
      </c>
      <c r="M5" s="4">
        <v>8873079.1600000001</v>
      </c>
    </row>
  </sheetData>
  <mergeCells count="1">
    <mergeCell ref="F2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5"/>
  <sheetViews>
    <sheetView tabSelected="1" topLeftCell="A4" workbookViewId="0">
      <selection activeCell="M8" sqref="M8"/>
    </sheetView>
  </sheetViews>
  <sheetFormatPr baseColWidth="10" defaultRowHeight="15" x14ac:dyDescent="0.25"/>
  <cols>
    <col min="3" max="4" width="12.28515625" customWidth="1"/>
    <col min="5" max="6" width="12.42578125" customWidth="1"/>
    <col min="7" max="7" width="12.28515625" customWidth="1"/>
    <col min="8" max="8" width="13" customWidth="1"/>
    <col min="9" max="10" width="12.7109375" bestFit="1" customWidth="1"/>
    <col min="11" max="11" width="14.5703125" customWidth="1"/>
    <col min="12" max="14" width="12.5703125" bestFit="1" customWidth="1"/>
    <col min="15" max="15" width="14.42578125" customWidth="1"/>
    <col min="17" max="17" width="12.5703125" bestFit="1" customWidth="1"/>
  </cols>
  <sheetData>
    <row r="2" spans="2:17" x14ac:dyDescent="0.25">
      <c r="C2" s="1"/>
      <c r="D2" s="1"/>
      <c r="E2" s="3" t="s">
        <v>7</v>
      </c>
      <c r="F2" s="3"/>
      <c r="G2" s="3"/>
      <c r="H2" s="1"/>
    </row>
    <row r="4" spans="2:17" x14ac:dyDescent="0.25">
      <c r="B4" s="8"/>
      <c r="C4" s="106" t="s">
        <v>0</v>
      </c>
      <c r="D4" s="106" t="s">
        <v>1</v>
      </c>
      <c r="E4" s="106" t="s">
        <v>2</v>
      </c>
      <c r="F4" s="106" t="s">
        <v>3</v>
      </c>
      <c r="G4" s="106" t="s">
        <v>4</v>
      </c>
      <c r="H4" s="107" t="s">
        <v>5</v>
      </c>
      <c r="I4" s="14" t="s">
        <v>43</v>
      </c>
      <c r="J4" s="14" t="s">
        <v>92</v>
      </c>
      <c r="K4" s="14" t="s">
        <v>99</v>
      </c>
      <c r="L4" s="14" t="s">
        <v>100</v>
      </c>
      <c r="M4" s="14" t="s">
        <v>101</v>
      </c>
      <c r="N4" s="14" t="s">
        <v>102</v>
      </c>
      <c r="O4" s="8"/>
    </row>
    <row r="5" spans="2:17" x14ac:dyDescent="0.25">
      <c r="B5" s="108">
        <v>2016</v>
      </c>
      <c r="C5" s="109">
        <v>543245</v>
      </c>
      <c r="D5" s="109">
        <v>547802</v>
      </c>
      <c r="E5" s="109">
        <v>535547</v>
      </c>
      <c r="F5" s="109">
        <v>580281</v>
      </c>
      <c r="G5" s="109">
        <v>554326</v>
      </c>
      <c r="H5" s="109">
        <v>581051</v>
      </c>
      <c r="I5" s="4">
        <v>573399</v>
      </c>
      <c r="J5" s="4">
        <v>561285</v>
      </c>
      <c r="K5" s="4">
        <v>561285</v>
      </c>
      <c r="L5" s="4">
        <v>576535</v>
      </c>
      <c r="M5" s="4">
        <v>594877</v>
      </c>
      <c r="N5" s="4">
        <v>569497</v>
      </c>
      <c r="O5" s="110">
        <f>SUM(C5:N5)</f>
        <v>6779130</v>
      </c>
    </row>
    <row r="6" spans="2:17" x14ac:dyDescent="0.25">
      <c r="B6" s="111">
        <v>2017</v>
      </c>
      <c r="C6" s="112">
        <v>608561</v>
      </c>
      <c r="D6" s="112">
        <v>665852.45999999309</v>
      </c>
      <c r="E6" s="112">
        <v>628602</v>
      </c>
      <c r="F6" s="112">
        <v>636293</v>
      </c>
      <c r="G6" s="112">
        <v>654885</v>
      </c>
      <c r="H6" s="112">
        <v>660429</v>
      </c>
      <c r="I6" s="4">
        <v>674835</v>
      </c>
      <c r="J6" s="4">
        <v>651307</v>
      </c>
      <c r="K6" s="112">
        <v>636030</v>
      </c>
      <c r="L6" s="4">
        <v>627419</v>
      </c>
      <c r="M6" s="4">
        <v>600994</v>
      </c>
      <c r="N6" s="4">
        <v>627790</v>
      </c>
      <c r="O6" s="10">
        <f>SUM(C6:N6)</f>
        <v>7672997.4599999934</v>
      </c>
    </row>
    <row r="7" spans="2:17" x14ac:dyDescent="0.25">
      <c r="B7" s="5">
        <v>2018</v>
      </c>
      <c r="C7" s="4">
        <v>644759</v>
      </c>
      <c r="D7" s="4">
        <v>725788</v>
      </c>
      <c r="E7" s="4">
        <v>754392</v>
      </c>
      <c r="F7" s="4">
        <v>705428</v>
      </c>
      <c r="G7" s="4">
        <v>755593</v>
      </c>
      <c r="H7" s="4">
        <v>773813</v>
      </c>
      <c r="I7" s="4">
        <v>687010</v>
      </c>
      <c r="J7" s="4">
        <v>774127</v>
      </c>
      <c r="K7" s="4">
        <v>759455</v>
      </c>
      <c r="L7" s="4">
        <v>708816</v>
      </c>
      <c r="M7" s="4">
        <v>717869</v>
      </c>
      <c r="N7" s="4">
        <v>715923</v>
      </c>
      <c r="O7" s="10">
        <f>SUM(C7:N7)</f>
        <v>8722973</v>
      </c>
    </row>
    <row r="8" spans="2:17" x14ac:dyDescent="0.25">
      <c r="B8" s="113">
        <v>2019</v>
      </c>
      <c r="C8" s="4">
        <v>642700</v>
      </c>
      <c r="D8" s="114">
        <v>959994</v>
      </c>
      <c r="E8" s="4">
        <v>829357</v>
      </c>
      <c r="F8" s="4">
        <v>832120</v>
      </c>
      <c r="G8" s="4">
        <v>887169</v>
      </c>
      <c r="H8" s="4">
        <v>941062</v>
      </c>
      <c r="I8" s="4">
        <v>831640</v>
      </c>
      <c r="J8" s="4">
        <v>817975</v>
      </c>
      <c r="K8" s="4">
        <v>795308.75</v>
      </c>
      <c r="L8" s="4">
        <v>860740.06</v>
      </c>
      <c r="M8" s="4">
        <v>825009.93</v>
      </c>
      <c r="N8" s="5"/>
      <c r="O8" s="10">
        <f>SUM(C8:N8)</f>
        <v>9223075.7400000002</v>
      </c>
      <c r="P8">
        <v>7950251.0600000005</v>
      </c>
      <c r="Q8" s="135">
        <f>+P8-O8</f>
        <v>-1272824.6799999997</v>
      </c>
    </row>
    <row r="9" spans="2:17" x14ac:dyDescent="0.25">
      <c r="B9" s="115">
        <v>0.04</v>
      </c>
      <c r="C9" s="8">
        <f>+C7*B9</f>
        <v>25790.36</v>
      </c>
      <c r="D9" s="10">
        <f>4%*D7</f>
        <v>29031.52</v>
      </c>
      <c r="E9" s="10">
        <f t="shared" ref="E9:N9" si="0">4%*E7</f>
        <v>30175.68</v>
      </c>
      <c r="F9" s="10">
        <f t="shared" si="0"/>
        <v>28217.119999999999</v>
      </c>
      <c r="G9" s="10">
        <f t="shared" si="0"/>
        <v>30223.72</v>
      </c>
      <c r="H9" s="10">
        <f t="shared" si="0"/>
        <v>30952.52</v>
      </c>
      <c r="I9" s="10">
        <f t="shared" si="0"/>
        <v>27480.400000000001</v>
      </c>
      <c r="J9" s="10">
        <f t="shared" si="0"/>
        <v>30965.08</v>
      </c>
      <c r="K9" s="10">
        <f t="shared" si="0"/>
        <v>30378.2</v>
      </c>
      <c r="L9" s="10">
        <f t="shared" si="0"/>
        <v>28352.639999999999</v>
      </c>
      <c r="M9" s="10">
        <f t="shared" si="0"/>
        <v>28714.760000000002</v>
      </c>
      <c r="N9" s="10">
        <f t="shared" si="0"/>
        <v>28636.920000000002</v>
      </c>
      <c r="O9" s="10">
        <f>SUM(C9:N9)</f>
        <v>348918.92</v>
      </c>
    </row>
    <row r="10" spans="2:17" x14ac:dyDescent="0.25">
      <c r="B10" s="8"/>
      <c r="C10" s="10">
        <f>+C8-C7</f>
        <v>-2059</v>
      </c>
      <c r="D10" s="10">
        <f t="shared" ref="D10:N10" si="1">+D8-D7</f>
        <v>234206</v>
      </c>
      <c r="E10" s="10">
        <f t="shared" si="1"/>
        <v>74965</v>
      </c>
      <c r="F10" s="10">
        <f t="shared" si="1"/>
        <v>126692</v>
      </c>
      <c r="G10" s="10">
        <f t="shared" si="1"/>
        <v>131576</v>
      </c>
      <c r="H10" s="10">
        <f t="shared" si="1"/>
        <v>167249</v>
      </c>
      <c r="I10" s="10">
        <f t="shared" si="1"/>
        <v>144630</v>
      </c>
      <c r="J10" s="10">
        <f t="shared" si="1"/>
        <v>43848</v>
      </c>
      <c r="K10" s="10">
        <f t="shared" si="1"/>
        <v>35853.75</v>
      </c>
      <c r="L10" s="10">
        <f t="shared" si="1"/>
        <v>151924.06000000006</v>
      </c>
      <c r="M10" s="10">
        <f t="shared" si="1"/>
        <v>107140.93000000005</v>
      </c>
      <c r="N10" s="10">
        <f t="shared" si="1"/>
        <v>-715923</v>
      </c>
      <c r="O10" s="8"/>
    </row>
    <row r="11" spans="2:17" x14ac:dyDescent="0.25">
      <c r="B11" t="s">
        <v>131</v>
      </c>
      <c r="C11">
        <f>+C7*0.05</f>
        <v>32237.95</v>
      </c>
      <c r="D11">
        <f t="shared" ref="D11:N11" si="2">+D7*0.05</f>
        <v>36289.4</v>
      </c>
      <c r="E11">
        <f t="shared" si="2"/>
        <v>37719.599999999999</v>
      </c>
      <c r="F11">
        <f t="shared" si="2"/>
        <v>35271.4</v>
      </c>
      <c r="G11">
        <f t="shared" si="2"/>
        <v>37779.65</v>
      </c>
      <c r="H11">
        <f t="shared" si="2"/>
        <v>38690.65</v>
      </c>
      <c r="I11">
        <f t="shared" si="2"/>
        <v>34350.5</v>
      </c>
      <c r="J11">
        <f t="shared" si="2"/>
        <v>38706.35</v>
      </c>
      <c r="K11">
        <f t="shared" si="2"/>
        <v>37972.75</v>
      </c>
      <c r="L11">
        <f t="shared" si="2"/>
        <v>35440.800000000003</v>
      </c>
      <c r="M11">
        <f t="shared" si="2"/>
        <v>35893.450000000004</v>
      </c>
      <c r="N11">
        <f t="shared" si="2"/>
        <v>35796.15</v>
      </c>
      <c r="O11" s="136">
        <f>SUM(C11:N11)</f>
        <v>436148.65</v>
      </c>
      <c r="P11">
        <f>+O11/12</f>
        <v>36345.720833333333</v>
      </c>
      <c r="Q11">
        <f>0.5*12</f>
        <v>6</v>
      </c>
    </row>
    <row r="15" spans="2:17" x14ac:dyDescent="0.25">
      <c r="L15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topLeftCell="B1" workbookViewId="0">
      <selection activeCell="M8" sqref="M8"/>
    </sheetView>
  </sheetViews>
  <sheetFormatPr baseColWidth="10" defaultRowHeight="11.25" x14ac:dyDescent="0.2"/>
  <cols>
    <col min="1" max="2" width="11.42578125" style="8"/>
    <col min="3" max="3" width="13.5703125" style="8" customWidth="1"/>
    <col min="4" max="13" width="12.5703125" style="8" bestFit="1" customWidth="1"/>
    <col min="14" max="14" width="12.42578125" style="8" customWidth="1"/>
    <col min="15" max="16384" width="11.42578125" style="8"/>
  </cols>
  <sheetData>
    <row r="2" spans="2:15" x14ac:dyDescent="0.2">
      <c r="G2" s="141" t="s">
        <v>110</v>
      </c>
      <c r="H2" s="141"/>
      <c r="I2" s="141"/>
      <c r="J2" s="141"/>
    </row>
    <row r="4" spans="2:15" x14ac:dyDescent="0.2">
      <c r="C4" s="18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18" t="s">
        <v>43</v>
      </c>
      <c r="J4" s="18" t="s">
        <v>92</v>
      </c>
      <c r="K4" s="19" t="s">
        <v>99</v>
      </c>
      <c r="L4" s="19" t="s">
        <v>100</v>
      </c>
      <c r="M4" s="19" t="s">
        <v>101</v>
      </c>
      <c r="N4" s="19" t="s">
        <v>102</v>
      </c>
    </row>
    <row r="5" spans="2:15" x14ac:dyDescent="0.2">
      <c r="B5" s="8">
        <v>2016</v>
      </c>
      <c r="C5" s="4">
        <v>780212</v>
      </c>
      <c r="D5" s="4">
        <v>576975</v>
      </c>
      <c r="E5" s="4">
        <v>557594</v>
      </c>
      <c r="F5" s="4">
        <v>568282</v>
      </c>
      <c r="G5" s="4">
        <v>580928</v>
      </c>
      <c r="H5" s="4">
        <v>584788</v>
      </c>
      <c r="I5" s="4">
        <v>547604</v>
      </c>
      <c r="J5" s="20">
        <v>587206</v>
      </c>
      <c r="K5" s="20">
        <v>540349</v>
      </c>
      <c r="L5" s="20">
        <v>722202</v>
      </c>
      <c r="M5" s="4">
        <v>583477</v>
      </c>
      <c r="N5" s="4">
        <v>552371</v>
      </c>
      <c r="O5" s="10">
        <f>SUM(C5:N5)</f>
        <v>7181988</v>
      </c>
    </row>
    <row r="6" spans="2:15" x14ac:dyDescent="0.2">
      <c r="B6" s="8">
        <v>2017</v>
      </c>
      <c r="C6" s="4">
        <v>991084.16</v>
      </c>
      <c r="D6" s="4">
        <v>621023.45000000007</v>
      </c>
      <c r="E6" s="4">
        <v>643353</v>
      </c>
      <c r="F6" s="4">
        <v>600653</v>
      </c>
      <c r="G6" s="4">
        <v>716447</v>
      </c>
      <c r="H6" s="4">
        <v>699220</v>
      </c>
      <c r="I6" s="4">
        <v>660071</v>
      </c>
      <c r="J6" s="20">
        <v>680674</v>
      </c>
      <c r="K6" s="4">
        <v>603314</v>
      </c>
      <c r="L6" s="20">
        <v>718856</v>
      </c>
      <c r="M6" s="4">
        <v>635312</v>
      </c>
      <c r="N6" s="20">
        <v>473941</v>
      </c>
      <c r="O6" s="10">
        <f>SUM(C6:N6)</f>
        <v>8043948.6100000003</v>
      </c>
    </row>
    <row r="7" spans="2:15" x14ac:dyDescent="0.2">
      <c r="B7" s="8">
        <v>2018</v>
      </c>
      <c r="C7" s="4">
        <v>1110558</v>
      </c>
      <c r="D7" s="4">
        <v>688062</v>
      </c>
      <c r="E7" s="4">
        <v>681016</v>
      </c>
      <c r="F7" s="4">
        <v>788022</v>
      </c>
      <c r="G7" s="4">
        <v>777467</v>
      </c>
      <c r="H7" s="4">
        <v>744072</v>
      </c>
      <c r="I7" s="4">
        <v>732363</v>
      </c>
      <c r="J7" s="4">
        <v>756289</v>
      </c>
      <c r="K7" s="4">
        <v>729286</v>
      </c>
      <c r="L7" s="4">
        <v>730876</v>
      </c>
      <c r="M7" s="4">
        <v>765000</v>
      </c>
      <c r="N7" s="46">
        <v>646643</v>
      </c>
      <c r="O7" s="10">
        <f>SUM(C7:N7)</f>
        <v>9149654</v>
      </c>
    </row>
    <row r="8" spans="2:15" x14ac:dyDescent="0.2">
      <c r="B8" s="8">
        <v>2019</v>
      </c>
      <c r="C8" s="4">
        <v>1235975</v>
      </c>
      <c r="D8" s="104">
        <v>779303</v>
      </c>
      <c r="E8" s="4">
        <v>811962</v>
      </c>
      <c r="F8" s="4">
        <v>839342</v>
      </c>
      <c r="G8" s="4">
        <v>893397</v>
      </c>
      <c r="H8" s="4">
        <v>872668</v>
      </c>
      <c r="I8" s="4">
        <v>910082</v>
      </c>
      <c r="J8" s="4">
        <v>806051</v>
      </c>
      <c r="K8" s="4">
        <v>801471.06</v>
      </c>
      <c r="L8" s="4">
        <v>922828.1</v>
      </c>
      <c r="M8" s="4">
        <v>902921.72</v>
      </c>
      <c r="N8" s="5"/>
      <c r="O8" s="10">
        <f>SUM(C8:N8)</f>
        <v>9776000.8800000008</v>
      </c>
    </row>
    <row r="9" spans="2:15" x14ac:dyDescent="0.2">
      <c r="C9" s="21">
        <f>+C7/C8</f>
        <v>0.89852788284552676</v>
      </c>
      <c r="D9" s="21">
        <f>+D7/D8</f>
        <v>0.88291973725239092</v>
      </c>
      <c r="E9" s="21">
        <f t="shared" ref="E9:N9" si="0">+E7/E8</f>
        <v>0.83872890603254835</v>
      </c>
      <c r="F9" s="21">
        <f t="shared" si="0"/>
        <v>0.93885686645014788</v>
      </c>
      <c r="G9" s="21">
        <f t="shared" si="0"/>
        <v>0.87023685998497868</v>
      </c>
      <c r="H9" s="21">
        <f t="shared" si="0"/>
        <v>0.85264040849441025</v>
      </c>
      <c r="I9" s="21">
        <f t="shared" si="0"/>
        <v>0.80472199208422979</v>
      </c>
      <c r="J9" s="21">
        <f t="shared" si="0"/>
        <v>0.93826445224929933</v>
      </c>
      <c r="K9" s="21">
        <f t="shared" si="0"/>
        <v>0.90993429007904536</v>
      </c>
      <c r="L9" s="21">
        <f t="shared" si="0"/>
        <v>0.79199582240722843</v>
      </c>
      <c r="M9" s="21">
        <f t="shared" si="0"/>
        <v>0.8472495267917578</v>
      </c>
      <c r="N9" s="21" t="e">
        <f t="shared" si="0"/>
        <v>#DIV/0!</v>
      </c>
    </row>
    <row r="10" spans="2:15" x14ac:dyDescent="0.2">
      <c r="C10" s="62">
        <f>100%-C9</f>
        <v>0.10147211715447324</v>
      </c>
      <c r="D10" s="62">
        <f>100%-D9</f>
        <v>0.11708026274760908</v>
      </c>
      <c r="E10" s="21">
        <v>0.16</v>
      </c>
      <c r="F10" s="62">
        <v>0.06</v>
      </c>
      <c r="G10" s="21">
        <v>0.13</v>
      </c>
      <c r="H10" s="21">
        <v>0.15</v>
      </c>
      <c r="I10" s="21">
        <v>0.2</v>
      </c>
      <c r="J10" s="21">
        <v>0.06</v>
      </c>
      <c r="K10" s="21">
        <v>7.0000000000000007E-2</v>
      </c>
      <c r="L10" s="62">
        <v>0.17</v>
      </c>
    </row>
    <row r="11" spans="2:15" x14ac:dyDescent="0.2">
      <c r="C11" s="10">
        <f>+C7-C6</f>
        <v>119473.83999999997</v>
      </c>
      <c r="D11" s="10">
        <f t="shared" ref="D11:N11" si="1">+D7-D6</f>
        <v>67038.54999999993</v>
      </c>
      <c r="E11" s="10">
        <f t="shared" si="1"/>
        <v>37663</v>
      </c>
      <c r="F11" s="10">
        <f t="shared" si="1"/>
        <v>187369</v>
      </c>
      <c r="G11" s="10">
        <f t="shared" si="1"/>
        <v>61020</v>
      </c>
      <c r="H11" s="10">
        <f t="shared" si="1"/>
        <v>44852</v>
      </c>
      <c r="I11" s="10">
        <f t="shared" si="1"/>
        <v>72292</v>
      </c>
      <c r="J11" s="10">
        <f t="shared" si="1"/>
        <v>75615</v>
      </c>
      <c r="K11" s="10">
        <f t="shared" si="1"/>
        <v>125972</v>
      </c>
      <c r="L11" s="10">
        <f t="shared" si="1"/>
        <v>12020</v>
      </c>
      <c r="M11" s="10">
        <f t="shared" si="1"/>
        <v>129688</v>
      </c>
      <c r="N11" s="10">
        <f t="shared" si="1"/>
        <v>172702</v>
      </c>
      <c r="O11" s="10">
        <f>SUM(C11:N11)</f>
        <v>1105705.3899999999</v>
      </c>
    </row>
    <row r="28" spans="16:16" x14ac:dyDescent="0.2">
      <c r="P28" s="8">
        <v>212239.1</v>
      </c>
    </row>
    <row r="29" spans="16:16" x14ac:dyDescent="0.2">
      <c r="P29" s="8">
        <v>690682.62</v>
      </c>
    </row>
    <row r="30" spans="16:16" x14ac:dyDescent="0.2">
      <c r="P30" s="8">
        <f>SUM(P28:P29)</f>
        <v>902921.72</v>
      </c>
    </row>
  </sheetData>
  <mergeCells count="1">
    <mergeCell ref="G2:J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4"/>
  <sheetViews>
    <sheetView workbookViewId="0">
      <selection activeCell="E42" sqref="E42"/>
    </sheetView>
  </sheetViews>
  <sheetFormatPr baseColWidth="10" defaultRowHeight="11.25" x14ac:dyDescent="0.2"/>
  <cols>
    <col min="1" max="1" width="11.42578125" style="8"/>
    <col min="2" max="2" width="39.7109375" style="8" customWidth="1"/>
    <col min="3" max="3" width="14.140625" style="8" customWidth="1"/>
    <col min="4" max="4" width="16.140625" style="8" customWidth="1"/>
    <col min="5" max="5" width="14.28515625" style="8" bestFit="1" customWidth="1"/>
    <col min="6" max="8" width="14" style="8" customWidth="1"/>
    <col min="9" max="9" width="13.28515625" style="8" customWidth="1"/>
    <col min="10" max="10" width="13.140625" style="8" customWidth="1"/>
    <col min="11" max="11" width="11.7109375" style="8" bestFit="1" customWidth="1"/>
    <col min="12" max="12" width="12.5703125" style="8" bestFit="1" customWidth="1"/>
    <col min="13" max="16384" width="11.42578125" style="8"/>
  </cols>
  <sheetData>
    <row r="2" spans="2:13" x14ac:dyDescent="0.2">
      <c r="B2" s="8" t="s">
        <v>39</v>
      </c>
    </row>
    <row r="5" spans="2:13" x14ac:dyDescent="0.2">
      <c r="C5" s="142" t="s">
        <v>105</v>
      </c>
      <c r="D5" s="142"/>
      <c r="E5" s="142"/>
      <c r="F5" s="9"/>
      <c r="G5" s="9"/>
      <c r="H5" s="9"/>
      <c r="I5" s="9"/>
      <c r="J5" s="9" t="s">
        <v>103</v>
      </c>
    </row>
    <row r="6" spans="2:13" x14ac:dyDescent="0.2">
      <c r="B6" s="5" t="s">
        <v>38</v>
      </c>
      <c r="C6" s="5">
        <v>2015</v>
      </c>
      <c r="D6" s="5">
        <v>2016</v>
      </c>
      <c r="E6" s="5">
        <v>2017</v>
      </c>
      <c r="F6" s="5">
        <v>2018</v>
      </c>
      <c r="G6" s="121">
        <v>2019</v>
      </c>
      <c r="I6" s="5">
        <v>2015</v>
      </c>
      <c r="J6" s="5">
        <v>2016</v>
      </c>
      <c r="K6" s="5">
        <v>2017</v>
      </c>
      <c r="L6" s="5">
        <v>2018</v>
      </c>
    </row>
    <row r="7" spans="2:13" x14ac:dyDescent="0.2">
      <c r="B7" s="5" t="s">
        <v>8</v>
      </c>
      <c r="C7" s="4">
        <v>36136</v>
      </c>
      <c r="D7" s="4">
        <v>56664</v>
      </c>
      <c r="E7" s="4">
        <v>52569</v>
      </c>
      <c r="F7" s="4">
        <v>2750</v>
      </c>
      <c r="G7" s="4">
        <v>66746</v>
      </c>
      <c r="I7" s="46">
        <v>139943</v>
      </c>
      <c r="J7" s="46">
        <v>109230</v>
      </c>
      <c r="K7" s="46">
        <v>61680</v>
      </c>
      <c r="L7" s="46">
        <v>2745</v>
      </c>
      <c r="M7" s="6"/>
    </row>
    <row r="8" spans="2:13" x14ac:dyDescent="0.2">
      <c r="B8" s="5" t="s">
        <v>9</v>
      </c>
      <c r="C8" s="4">
        <v>380</v>
      </c>
      <c r="D8" s="4">
        <v>619</v>
      </c>
      <c r="E8" s="4">
        <v>1060</v>
      </c>
      <c r="F8" s="4">
        <v>686</v>
      </c>
      <c r="G8" s="4">
        <v>1100</v>
      </c>
      <c r="I8" s="46">
        <v>1249</v>
      </c>
      <c r="J8" s="46">
        <v>962</v>
      </c>
      <c r="K8" s="46">
        <v>1614</v>
      </c>
      <c r="L8" s="46">
        <v>1400</v>
      </c>
      <c r="M8" s="6"/>
    </row>
    <row r="9" spans="2:13" x14ac:dyDescent="0.2">
      <c r="B9" s="5" t="s">
        <v>10</v>
      </c>
      <c r="C9" s="4">
        <v>6758</v>
      </c>
      <c r="D9" s="4">
        <v>15954</v>
      </c>
      <c r="E9" s="4">
        <v>11324</v>
      </c>
      <c r="F9" s="4">
        <v>22493</v>
      </c>
      <c r="G9" s="4">
        <v>25488</v>
      </c>
      <c r="I9" s="46">
        <v>9137</v>
      </c>
      <c r="J9" s="46">
        <v>18330</v>
      </c>
      <c r="K9" s="46">
        <v>15896</v>
      </c>
      <c r="L9" s="46">
        <v>27893</v>
      </c>
      <c r="M9" s="6"/>
    </row>
    <row r="10" spans="2:13" x14ac:dyDescent="0.2">
      <c r="B10" s="5" t="s">
        <v>11</v>
      </c>
      <c r="C10" s="4">
        <v>10616</v>
      </c>
      <c r="D10" s="4">
        <v>10112</v>
      </c>
      <c r="E10" s="4">
        <v>10304</v>
      </c>
      <c r="F10" s="4">
        <v>10309</v>
      </c>
      <c r="G10" s="4">
        <v>11573</v>
      </c>
      <c r="I10" s="46">
        <v>20628.52</v>
      </c>
      <c r="J10" s="46">
        <v>19328</v>
      </c>
      <c r="K10" s="46">
        <v>17356</v>
      </c>
      <c r="L10" s="46">
        <v>21181</v>
      </c>
      <c r="M10" s="6"/>
    </row>
    <row r="11" spans="2:13" x14ac:dyDescent="0.2">
      <c r="B11" s="5" t="s">
        <v>12</v>
      </c>
      <c r="C11" s="4">
        <v>21231</v>
      </c>
      <c r="D11" s="4">
        <v>5515</v>
      </c>
      <c r="E11" s="4">
        <v>4476</v>
      </c>
      <c r="F11" s="4">
        <v>5712</v>
      </c>
      <c r="G11" s="4">
        <v>6549</v>
      </c>
      <c r="I11" s="46">
        <v>46180</v>
      </c>
      <c r="J11" s="46">
        <v>10763</v>
      </c>
      <c r="K11" s="46">
        <v>7376</v>
      </c>
      <c r="L11" s="46">
        <v>13357</v>
      </c>
      <c r="M11" s="6"/>
    </row>
    <row r="12" spans="2:13" x14ac:dyDescent="0.2">
      <c r="B12" s="5" t="s">
        <v>13</v>
      </c>
      <c r="C12" s="4">
        <v>2676905.7200000002</v>
      </c>
      <c r="D12" s="4">
        <v>2899218</v>
      </c>
      <c r="E12" s="4">
        <v>3431451.61</v>
      </c>
      <c r="F12" s="4">
        <v>3848006</v>
      </c>
      <c r="G12" s="4">
        <v>4442175</v>
      </c>
      <c r="I12" s="46">
        <v>5699873.7199999997</v>
      </c>
      <c r="J12" s="46">
        <v>6281022</v>
      </c>
      <c r="K12" s="46">
        <v>7203617.6100000003</v>
      </c>
      <c r="L12" s="46">
        <v>8206013</v>
      </c>
      <c r="M12" s="6"/>
    </row>
    <row r="13" spans="2:13" x14ac:dyDescent="0.2">
      <c r="B13" s="5" t="s">
        <v>14</v>
      </c>
      <c r="C13" s="4">
        <v>95122</v>
      </c>
      <c r="D13" s="4">
        <v>104052</v>
      </c>
      <c r="E13" s="4">
        <v>127627.67</v>
      </c>
      <c r="F13" s="4">
        <v>138313</v>
      </c>
      <c r="G13" s="4">
        <v>167447</v>
      </c>
      <c r="I13" s="46">
        <v>200091</v>
      </c>
      <c r="J13" s="46">
        <v>220830</v>
      </c>
      <c r="K13" s="46">
        <v>258262.67</v>
      </c>
      <c r="L13" s="46">
        <v>283433</v>
      </c>
      <c r="M13" s="6"/>
    </row>
    <row r="14" spans="2:13" x14ac:dyDescent="0.2">
      <c r="B14" s="5" t="s">
        <v>15</v>
      </c>
      <c r="C14" s="4">
        <v>190243.6</v>
      </c>
      <c r="D14" s="4">
        <v>218396</v>
      </c>
      <c r="E14" s="4">
        <v>253091.14</v>
      </c>
      <c r="F14" s="4">
        <v>283125</v>
      </c>
      <c r="G14" s="4">
        <v>336454</v>
      </c>
      <c r="I14" s="46">
        <v>399997.6</v>
      </c>
      <c r="J14" s="46">
        <v>457486</v>
      </c>
      <c r="K14" s="46">
        <v>513446.14</v>
      </c>
      <c r="L14" s="46">
        <v>578307</v>
      </c>
      <c r="M14" s="6"/>
    </row>
    <row r="15" spans="2:13" x14ac:dyDescent="0.2">
      <c r="B15" s="5" t="s">
        <v>16</v>
      </c>
      <c r="C15" s="4">
        <v>61217</v>
      </c>
      <c r="D15" s="4">
        <v>74782</v>
      </c>
      <c r="E15" s="4">
        <v>88020.49</v>
      </c>
      <c r="F15" s="4">
        <v>40631</v>
      </c>
      <c r="G15" s="4">
        <v>51142</v>
      </c>
      <c r="H15" s="10"/>
      <c r="I15" s="46">
        <v>61217</v>
      </c>
      <c r="J15" s="46">
        <v>74782</v>
      </c>
      <c r="K15" s="46">
        <v>88020.49</v>
      </c>
      <c r="L15" s="46">
        <v>37133</v>
      </c>
      <c r="M15" s="6"/>
    </row>
    <row r="16" spans="2:13" x14ac:dyDescent="0.2">
      <c r="B16" s="5" t="s">
        <v>17</v>
      </c>
      <c r="C16" s="4">
        <v>77</v>
      </c>
      <c r="D16" s="4">
        <v>14</v>
      </c>
      <c r="E16" s="4">
        <v>586</v>
      </c>
      <c r="F16" s="4">
        <v>350</v>
      </c>
      <c r="G16" s="4">
        <v>472</v>
      </c>
      <c r="I16" s="46">
        <v>119</v>
      </c>
      <c r="J16" s="46">
        <v>42</v>
      </c>
      <c r="K16" s="46">
        <v>928</v>
      </c>
      <c r="L16" s="46">
        <v>593.05999999999995</v>
      </c>
      <c r="M16" s="6"/>
    </row>
    <row r="17" spans="2:13" x14ac:dyDescent="0.2">
      <c r="B17" s="5" t="s">
        <v>18</v>
      </c>
      <c r="C17" s="4">
        <v>43201.06</v>
      </c>
      <c r="D17" s="4">
        <v>44725</v>
      </c>
      <c r="E17" s="4">
        <v>10166.16</v>
      </c>
      <c r="F17" s="4">
        <v>10145</v>
      </c>
      <c r="G17" s="4">
        <v>18452</v>
      </c>
      <c r="I17" s="46">
        <v>79763.06</v>
      </c>
      <c r="J17" s="46">
        <v>63865.5</v>
      </c>
      <c r="K17" s="46">
        <v>25327.16</v>
      </c>
      <c r="L17" s="46">
        <v>27554</v>
      </c>
      <c r="M17" s="6"/>
    </row>
    <row r="18" spans="2:13" x14ac:dyDescent="0.2">
      <c r="B18" s="5" t="s">
        <v>19</v>
      </c>
      <c r="C18" s="4">
        <v>54241</v>
      </c>
      <c r="D18" s="4">
        <v>57313</v>
      </c>
      <c r="E18" s="4">
        <v>69646</v>
      </c>
      <c r="F18" s="4">
        <v>58007</v>
      </c>
      <c r="G18" s="4">
        <v>57021</v>
      </c>
      <c r="I18" s="46">
        <v>107766</v>
      </c>
      <c r="J18" s="46">
        <v>109481</v>
      </c>
      <c r="K18" s="46">
        <v>107958</v>
      </c>
      <c r="L18" s="46">
        <v>116585</v>
      </c>
      <c r="M18" s="6"/>
    </row>
    <row r="19" spans="2:13" x14ac:dyDescent="0.2">
      <c r="B19" s="5" t="s">
        <v>20</v>
      </c>
      <c r="C19" s="4">
        <v>37551</v>
      </c>
      <c r="D19" s="4">
        <v>11348</v>
      </c>
      <c r="E19" s="4">
        <v>8385</v>
      </c>
      <c r="F19" s="4">
        <v>10542</v>
      </c>
      <c r="G19" s="4">
        <v>12135</v>
      </c>
      <c r="I19" s="46">
        <v>84293</v>
      </c>
      <c r="J19" s="46">
        <v>20328</v>
      </c>
      <c r="K19" s="46">
        <v>13990</v>
      </c>
      <c r="L19" s="46">
        <v>25407</v>
      </c>
      <c r="M19" s="6"/>
    </row>
    <row r="20" spans="2:13" x14ac:dyDescent="0.2">
      <c r="B20" s="5" t="s">
        <v>21</v>
      </c>
      <c r="C20" s="4">
        <v>217</v>
      </c>
      <c r="D20" s="4">
        <v>29</v>
      </c>
      <c r="E20" s="4">
        <v>160</v>
      </c>
      <c r="F20" s="4">
        <v>135</v>
      </c>
      <c r="G20" s="4">
        <v>530</v>
      </c>
      <c r="I20" s="46">
        <v>226</v>
      </c>
      <c r="J20" s="46">
        <v>453</v>
      </c>
      <c r="K20" s="46">
        <v>254</v>
      </c>
      <c r="L20" s="46">
        <v>396</v>
      </c>
      <c r="M20" s="6"/>
    </row>
    <row r="21" spans="2:13" x14ac:dyDescent="0.2">
      <c r="B21" s="5" t="s">
        <v>22</v>
      </c>
      <c r="C21" s="4">
        <v>19858.939999999999</v>
      </c>
      <c r="D21" s="4">
        <v>50036.61</v>
      </c>
      <c r="E21" s="4">
        <v>55598</v>
      </c>
      <c r="F21" s="4">
        <v>58986.73</v>
      </c>
      <c r="G21" s="4">
        <v>61585</v>
      </c>
      <c r="I21" s="46">
        <v>90396.4</v>
      </c>
      <c r="J21" s="46">
        <v>98150.64</v>
      </c>
      <c r="K21" s="46">
        <v>90571.41</v>
      </c>
      <c r="L21" s="46">
        <v>116031.64</v>
      </c>
      <c r="M21" s="6"/>
    </row>
    <row r="22" spans="2:13" x14ac:dyDescent="0.2">
      <c r="B22" s="5" t="s">
        <v>23</v>
      </c>
      <c r="C22" s="4">
        <v>113507</v>
      </c>
      <c r="D22" s="4">
        <v>125731</v>
      </c>
      <c r="E22" s="4">
        <v>148435.85999999999</v>
      </c>
      <c r="F22" s="4">
        <v>159328.01999999999</v>
      </c>
      <c r="G22" s="4">
        <v>182894</v>
      </c>
      <c r="I22" s="46">
        <v>229590</v>
      </c>
      <c r="J22" s="46">
        <v>272765</v>
      </c>
      <c r="K22" s="46">
        <v>302364.34000000003</v>
      </c>
      <c r="L22" s="46">
        <v>339223.02</v>
      </c>
      <c r="M22" s="6"/>
    </row>
    <row r="23" spans="2:13" x14ac:dyDescent="0.2">
      <c r="B23" s="5" t="s">
        <v>24</v>
      </c>
      <c r="C23" s="4">
        <v>27368.77</v>
      </c>
      <c r="D23" s="4">
        <v>27848</v>
      </c>
      <c r="E23" s="4">
        <v>34268.660000000003</v>
      </c>
      <c r="F23" s="4">
        <v>35665</v>
      </c>
      <c r="G23" s="4">
        <v>37505.760000000002</v>
      </c>
      <c r="I23" s="46">
        <v>27595.43</v>
      </c>
      <c r="J23" s="46">
        <v>28268.07</v>
      </c>
      <c r="K23" s="46">
        <v>35284.660000000003</v>
      </c>
      <c r="L23" s="46">
        <v>35787.74</v>
      </c>
      <c r="M23" s="6"/>
    </row>
    <row r="24" spans="2:13" x14ac:dyDescent="0.2">
      <c r="B24" s="5" t="s">
        <v>25</v>
      </c>
      <c r="C24" s="4">
        <v>57394</v>
      </c>
      <c r="D24" s="4">
        <v>60461</v>
      </c>
      <c r="E24" s="4">
        <v>127295</v>
      </c>
      <c r="F24" s="4">
        <v>101345</v>
      </c>
      <c r="G24" s="4">
        <v>78882</v>
      </c>
      <c r="I24" s="46">
        <v>131958.23000000001</v>
      </c>
      <c r="J24" s="46">
        <v>142964</v>
      </c>
      <c r="K24" s="46">
        <v>204055</v>
      </c>
      <c r="L24" s="46">
        <v>208522</v>
      </c>
      <c r="M24" s="6"/>
    </row>
    <row r="25" spans="2:13" x14ac:dyDescent="0.2">
      <c r="B25" s="5" t="s">
        <v>26</v>
      </c>
      <c r="C25" s="4">
        <v>17721</v>
      </c>
      <c r="D25" s="4">
        <v>19964</v>
      </c>
      <c r="E25" s="4">
        <v>26881</v>
      </c>
      <c r="F25" s="4">
        <v>24427</v>
      </c>
      <c r="G25" s="4">
        <v>27796</v>
      </c>
      <c r="I25" s="46">
        <v>36157</v>
      </c>
      <c r="J25" s="46">
        <v>38821</v>
      </c>
      <c r="K25" s="46">
        <v>42763</v>
      </c>
      <c r="L25" s="46">
        <v>47781</v>
      </c>
      <c r="M25" s="6"/>
    </row>
    <row r="26" spans="2:13" x14ac:dyDescent="0.2">
      <c r="B26" s="5" t="s">
        <v>27</v>
      </c>
      <c r="C26" s="4">
        <v>30861</v>
      </c>
      <c r="D26" s="4">
        <v>15676</v>
      </c>
      <c r="E26" s="4">
        <v>33379</v>
      </c>
      <c r="F26" s="4">
        <v>29657</v>
      </c>
      <c r="G26" s="4">
        <v>42604</v>
      </c>
      <c r="I26" s="46">
        <v>62000</v>
      </c>
      <c r="J26" s="46">
        <v>30383</v>
      </c>
      <c r="K26" s="46">
        <v>57409</v>
      </c>
      <c r="L26" s="101">
        <v>88379</v>
      </c>
      <c r="M26" s="6"/>
    </row>
    <row r="27" spans="2:13" x14ac:dyDescent="0.2">
      <c r="B27" s="5" t="s">
        <v>28</v>
      </c>
      <c r="C27" s="4">
        <v>1935</v>
      </c>
      <c r="D27" s="4">
        <v>0</v>
      </c>
      <c r="E27" s="4">
        <v>3890</v>
      </c>
      <c r="F27" s="4">
        <v>762</v>
      </c>
      <c r="G27" s="4">
        <v>5379</v>
      </c>
      <c r="I27" s="46">
        <v>7227</v>
      </c>
      <c r="J27" s="5">
        <v>0</v>
      </c>
      <c r="K27" s="46">
        <v>5087</v>
      </c>
      <c r="L27" s="46">
        <v>4461</v>
      </c>
      <c r="M27" s="6"/>
    </row>
    <row r="28" spans="2:13" x14ac:dyDescent="0.2">
      <c r="B28" s="5" t="s">
        <v>29</v>
      </c>
      <c r="C28" s="4">
        <v>13354</v>
      </c>
      <c r="D28" s="4">
        <v>2277</v>
      </c>
      <c r="E28" s="4">
        <v>17450.55</v>
      </c>
      <c r="F28" s="4">
        <v>6421</v>
      </c>
      <c r="G28" s="4">
        <v>6764</v>
      </c>
      <c r="I28" s="46">
        <v>24328</v>
      </c>
      <c r="J28" s="46">
        <v>13723</v>
      </c>
      <c r="K28" s="46">
        <v>28046</v>
      </c>
      <c r="L28" s="46">
        <v>12531</v>
      </c>
      <c r="M28" s="6"/>
    </row>
    <row r="29" spans="2:13" x14ac:dyDescent="0.2">
      <c r="B29" s="5" t="s">
        <v>30</v>
      </c>
      <c r="C29" s="4">
        <v>50258.07</v>
      </c>
      <c r="D29" s="4">
        <v>50630</v>
      </c>
      <c r="E29" s="4">
        <v>49744.92</v>
      </c>
      <c r="F29" s="4">
        <v>70437</v>
      </c>
      <c r="G29" s="4">
        <v>101209</v>
      </c>
      <c r="I29" s="46">
        <v>100645.07</v>
      </c>
      <c r="J29" s="46">
        <v>97045</v>
      </c>
      <c r="K29" s="46">
        <v>107831.92</v>
      </c>
      <c r="L29" s="46">
        <v>150948.6</v>
      </c>
      <c r="M29" s="6"/>
    </row>
    <row r="30" spans="2:13" x14ac:dyDescent="0.2">
      <c r="B30" s="5" t="s">
        <v>31</v>
      </c>
      <c r="C30" s="4">
        <v>19699</v>
      </c>
      <c r="D30" s="4">
        <v>17709</v>
      </c>
      <c r="E30" s="4">
        <v>10389</v>
      </c>
      <c r="F30" s="4">
        <v>16359</v>
      </c>
      <c r="G30" s="4">
        <v>23244</v>
      </c>
      <c r="I30" s="46">
        <v>36186</v>
      </c>
      <c r="J30" s="46">
        <v>30624</v>
      </c>
      <c r="K30" s="46">
        <v>22152</v>
      </c>
      <c r="L30" s="46">
        <v>38504</v>
      </c>
      <c r="M30" s="102">
        <f>+K30/L30</f>
        <v>0.5753168501973821</v>
      </c>
    </row>
    <row r="31" spans="2:13" x14ac:dyDescent="0.2">
      <c r="B31" s="5" t="s">
        <v>32</v>
      </c>
      <c r="C31" s="4">
        <v>713009</v>
      </c>
      <c r="D31" s="4">
        <v>749561</v>
      </c>
      <c r="E31" s="4">
        <v>840329</v>
      </c>
      <c r="F31" s="4">
        <v>947353</v>
      </c>
      <c r="G31" s="4">
        <v>1008844</v>
      </c>
      <c r="I31" s="46">
        <v>724191</v>
      </c>
      <c r="J31" s="46">
        <v>758332</v>
      </c>
      <c r="K31" s="46">
        <v>849616</v>
      </c>
      <c r="L31" s="46">
        <v>954128</v>
      </c>
      <c r="M31" s="6"/>
    </row>
    <row r="32" spans="2:13" x14ac:dyDescent="0.2">
      <c r="B32" s="5" t="s">
        <v>33</v>
      </c>
      <c r="C32" s="4">
        <v>21351</v>
      </c>
      <c r="D32" s="4">
        <v>22914</v>
      </c>
      <c r="E32" s="4">
        <v>27589.55</v>
      </c>
      <c r="F32" s="4">
        <v>29946</v>
      </c>
      <c r="G32" s="4">
        <v>34110</v>
      </c>
      <c r="I32" s="46">
        <v>21582</v>
      </c>
      <c r="J32" s="46">
        <v>23190</v>
      </c>
      <c r="K32" s="46">
        <v>27701.55</v>
      </c>
      <c r="L32" s="46">
        <v>30104</v>
      </c>
      <c r="M32" s="6"/>
    </row>
    <row r="33" spans="2:13" x14ac:dyDescent="0.2">
      <c r="B33" s="5" t="s">
        <v>34</v>
      </c>
      <c r="C33" s="4">
        <v>42455</v>
      </c>
      <c r="D33" s="4">
        <v>45707</v>
      </c>
      <c r="E33" s="4">
        <v>52755.1</v>
      </c>
      <c r="F33" s="4">
        <v>59585</v>
      </c>
      <c r="G33" s="4">
        <v>65940</v>
      </c>
      <c r="I33" s="46">
        <v>42688</v>
      </c>
      <c r="J33" s="46">
        <v>46086</v>
      </c>
      <c r="K33" s="46">
        <v>52961.1</v>
      </c>
      <c r="L33" s="46">
        <v>59865</v>
      </c>
      <c r="M33" s="6"/>
    </row>
    <row r="34" spans="2:13" x14ac:dyDescent="0.2">
      <c r="B34" s="5" t="s">
        <v>35</v>
      </c>
      <c r="C34" s="4">
        <v>9841.6</v>
      </c>
      <c r="D34" s="4">
        <v>9273</v>
      </c>
      <c r="E34" s="4">
        <v>8883</v>
      </c>
      <c r="F34" s="4">
        <v>10860</v>
      </c>
      <c r="G34" s="4">
        <v>10638</v>
      </c>
      <c r="I34" s="46">
        <v>24441.599999999999</v>
      </c>
      <c r="J34" s="46">
        <v>22282.97</v>
      </c>
      <c r="K34" s="46">
        <v>16885</v>
      </c>
      <c r="L34" s="46">
        <v>12720</v>
      </c>
      <c r="M34" s="6"/>
    </row>
    <row r="35" spans="2:13" x14ac:dyDescent="0.2">
      <c r="B35" s="5" t="s">
        <v>36</v>
      </c>
      <c r="C35" s="4">
        <v>26594</v>
      </c>
      <c r="D35" s="4">
        <v>27269</v>
      </c>
      <c r="E35" s="4">
        <v>40348</v>
      </c>
      <c r="F35" s="4">
        <v>38136</v>
      </c>
      <c r="G35" s="4">
        <v>36496</v>
      </c>
      <c r="I35" s="46">
        <v>52165</v>
      </c>
      <c r="J35" s="46">
        <v>57810</v>
      </c>
      <c r="K35" s="46">
        <v>63037</v>
      </c>
      <c r="L35" s="46">
        <v>76101</v>
      </c>
      <c r="M35" s="6"/>
    </row>
    <row r="36" spans="2:13" x14ac:dyDescent="0.2">
      <c r="B36" s="5" t="s">
        <v>37</v>
      </c>
      <c r="C36" s="4">
        <v>3625</v>
      </c>
      <c r="D36" s="4">
        <v>3375</v>
      </c>
      <c r="E36" s="4">
        <v>2967</v>
      </c>
      <c r="F36" s="4">
        <v>3168</v>
      </c>
      <c r="G36" s="4">
        <v>4416</v>
      </c>
      <c r="I36" s="46">
        <v>5250</v>
      </c>
      <c r="J36" s="46">
        <v>6375</v>
      </c>
      <c r="K36" s="46">
        <v>4773</v>
      </c>
      <c r="L36" s="46">
        <v>6072</v>
      </c>
      <c r="M36" s="6"/>
    </row>
    <row r="37" spans="2:13" x14ac:dyDescent="0.2">
      <c r="B37" s="5" t="s">
        <v>40</v>
      </c>
      <c r="C37" s="11">
        <f>SUM(C7:C36)</f>
        <v>4402728.76</v>
      </c>
      <c r="D37" s="5">
        <f>SUBTOTAL(9,D10:D36)</f>
        <v>4653935.6099999994</v>
      </c>
      <c r="E37" s="5">
        <f>SUBTOTAL(9,E10:E36)</f>
        <v>5484117.71</v>
      </c>
      <c r="F37" s="4">
        <f>SUM(F7:F36)</f>
        <v>6023639.75</v>
      </c>
      <c r="G37" s="4">
        <f>SUM(G7:G36)</f>
        <v>6925590.7599999998</v>
      </c>
      <c r="I37" s="47">
        <f>SUM(I7:I36)</f>
        <v>8466884.629999999</v>
      </c>
      <c r="J37" s="47">
        <f>SUM(J7:J36)</f>
        <v>9053722.1800000016</v>
      </c>
      <c r="K37" s="46">
        <f>SUM(K7:K36)</f>
        <v>10226264.050000001</v>
      </c>
      <c r="L37" s="4">
        <v>11561076.360000001</v>
      </c>
    </row>
    <row r="38" spans="2:13" x14ac:dyDescent="0.2">
      <c r="K38" s="6"/>
      <c r="L38" s="7"/>
    </row>
    <row r="39" spans="2:13" x14ac:dyDescent="0.2">
      <c r="M39" s="6"/>
    </row>
    <row r="40" spans="2:13" x14ac:dyDescent="0.2">
      <c r="M40" s="6"/>
    </row>
    <row r="41" spans="2:13" x14ac:dyDescent="0.2">
      <c r="M41" s="6"/>
    </row>
    <row r="42" spans="2:13" x14ac:dyDescent="0.2">
      <c r="M42" s="6"/>
    </row>
    <row r="43" spans="2:13" x14ac:dyDescent="0.2">
      <c r="M43" s="6"/>
    </row>
    <row r="44" spans="2:13" x14ac:dyDescent="0.2">
      <c r="M44" s="6"/>
    </row>
  </sheetData>
  <mergeCells count="1">
    <mergeCell ref="C5:E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27"/>
  <sheetViews>
    <sheetView topLeftCell="B10" workbookViewId="0">
      <selection activeCell="O27" sqref="O27"/>
    </sheetView>
  </sheetViews>
  <sheetFormatPr baseColWidth="10" defaultRowHeight="11.25" x14ac:dyDescent="0.2"/>
  <cols>
    <col min="1" max="4" width="11.42578125" style="8"/>
    <col min="5" max="5" width="12.5703125" style="8" customWidth="1"/>
    <col min="6" max="10" width="11.42578125" style="8"/>
    <col min="11" max="11" width="12.85546875" style="8" customWidth="1"/>
    <col min="12" max="16" width="11.42578125" style="8"/>
    <col min="17" max="17" width="12.85546875" style="8" customWidth="1"/>
    <col min="18" max="16384" width="11.42578125" style="8"/>
  </cols>
  <sheetData>
    <row r="3" spans="3:18" x14ac:dyDescent="0.2">
      <c r="J3" s="141" t="s">
        <v>114</v>
      </c>
      <c r="K3" s="141"/>
      <c r="L3" s="141"/>
    </row>
    <row r="5" spans="3:18" x14ac:dyDescent="0.2">
      <c r="D5" s="8">
        <v>2017</v>
      </c>
      <c r="E5" s="68" t="s">
        <v>0</v>
      </c>
      <c r="F5" s="68" t="s">
        <v>1</v>
      </c>
      <c r="G5" s="68" t="s">
        <v>2</v>
      </c>
      <c r="H5" s="68" t="s">
        <v>3</v>
      </c>
      <c r="I5" s="68" t="s">
        <v>4</v>
      </c>
      <c r="J5" s="68" t="s">
        <v>5</v>
      </c>
      <c r="K5" s="68" t="s">
        <v>43</v>
      </c>
      <c r="L5" s="68" t="s">
        <v>92</v>
      </c>
      <c r="M5" s="19" t="s">
        <v>99</v>
      </c>
      <c r="N5" s="69" t="s">
        <v>100</v>
      </c>
      <c r="O5" s="19" t="s">
        <v>101</v>
      </c>
      <c r="P5" s="19" t="s">
        <v>102</v>
      </c>
      <c r="Q5" s="70" t="s">
        <v>103</v>
      </c>
      <c r="R5" s="70" t="s">
        <v>104</v>
      </c>
    </row>
    <row r="6" spans="3:18" x14ac:dyDescent="0.2">
      <c r="C6" s="143" t="s">
        <v>125</v>
      </c>
      <c r="D6" s="144"/>
      <c r="E6" s="4">
        <v>367779.16000000003</v>
      </c>
      <c r="F6" s="4">
        <v>-13423.780000002116</v>
      </c>
      <c r="G6" s="4">
        <v>8905.7699999978813</v>
      </c>
      <c r="H6" s="4">
        <v>-57357</v>
      </c>
      <c r="I6" s="4">
        <v>60263</v>
      </c>
      <c r="J6" s="4">
        <v>-9765</v>
      </c>
      <c r="K6" s="4">
        <v>8905.7699999978813</v>
      </c>
      <c r="L6" s="4">
        <v>27064</v>
      </c>
      <c r="M6" s="4">
        <v>-32973</v>
      </c>
      <c r="N6" s="4">
        <v>91437</v>
      </c>
      <c r="O6" s="4">
        <v>34318</v>
      </c>
      <c r="P6" s="5">
        <v>-153849</v>
      </c>
      <c r="Q6" s="10">
        <f>SUM(E6:P6)</f>
        <v>331304.91999999364</v>
      </c>
      <c r="R6" s="58">
        <f>+Q6/12</f>
        <v>27608.743333332804</v>
      </c>
    </row>
    <row r="7" spans="3:18" x14ac:dyDescent="0.2">
      <c r="C7" s="143" t="s">
        <v>123</v>
      </c>
      <c r="D7" s="144"/>
      <c r="E7" s="4">
        <v>114.26321379218675</v>
      </c>
      <c r="F7" s="4">
        <v>117.62792029995396</v>
      </c>
      <c r="G7" s="4">
        <v>117.62792029995396</v>
      </c>
      <c r="H7" s="4">
        <v>123.25938705683976</v>
      </c>
      <c r="I7" s="4">
        <v>129.0799372447656</v>
      </c>
      <c r="J7" s="4">
        <v>134.0674751144652</v>
      </c>
      <c r="K7" s="4">
        <v>117.62792029995396</v>
      </c>
      <c r="L7" s="4">
        <v>137.9485992138714</v>
      </c>
      <c r="M7" s="4">
        <v>173.11778749549546</v>
      </c>
      <c r="N7" s="4">
        <v>126.65145794882365</v>
      </c>
      <c r="O7" s="4">
        <v>135.42730993058345</v>
      </c>
      <c r="P7" s="16">
        <v>139.84944768737316</v>
      </c>
      <c r="Q7" s="10">
        <f>SUM(E7:P7)</f>
        <v>1566.5483763842665</v>
      </c>
      <c r="R7" s="58">
        <f>+Q7/12</f>
        <v>130.54569803202222</v>
      </c>
    </row>
    <row r="8" spans="3:18" x14ac:dyDescent="0.2">
      <c r="C8" s="143" t="s">
        <v>124</v>
      </c>
      <c r="D8" s="144"/>
      <c r="E8" s="4">
        <v>163.43375554326977</v>
      </c>
      <c r="F8" s="4">
        <v>110.75460817700775</v>
      </c>
      <c r="G8" s="4">
        <v>121.58035022477468</v>
      </c>
      <c r="H8" s="4">
        <v>114.49874643527259</v>
      </c>
      <c r="I8" s="4">
        <v>141.84440338744625</v>
      </c>
      <c r="J8" s="4">
        <v>133.52463555933969</v>
      </c>
      <c r="K8" s="4">
        <v>121.58035022477468</v>
      </c>
      <c r="L8" s="4">
        <v>143.37679331816128</v>
      </c>
      <c r="M8" s="4">
        <v>133.37952633588779</v>
      </c>
      <c r="N8" s="4">
        <v>170.67894783203113</v>
      </c>
      <c r="O8" s="4">
        <v>158.37756657657297</v>
      </c>
      <c r="P8" s="16">
        <v>160.08984131100067</v>
      </c>
      <c r="Q8" s="10">
        <f>SUM(E8:P8)</f>
        <v>1673.1195249255388</v>
      </c>
      <c r="R8" s="58">
        <f>+Q8/12</f>
        <v>139.42662707712824</v>
      </c>
    </row>
    <row r="9" spans="3:18" x14ac:dyDescent="0.2">
      <c r="C9" s="143" t="s">
        <v>41</v>
      </c>
      <c r="D9" s="144"/>
      <c r="E9" s="4">
        <v>10.975517090725175</v>
      </c>
      <c r="F9" s="4">
        <v>11.228635864322374</v>
      </c>
      <c r="G9" s="4">
        <v>11.83332636390633</v>
      </c>
      <c r="H9" s="4">
        <v>11.012586157687387</v>
      </c>
      <c r="I9" s="4">
        <v>11.18959192673266</v>
      </c>
      <c r="J9" s="4">
        <v>11.194177983417267</v>
      </c>
      <c r="K9" s="4">
        <v>11.83332636390633</v>
      </c>
      <c r="L9" s="4">
        <v>12.739181233921592</v>
      </c>
      <c r="M9" s="4">
        <v>12.882032414730432</v>
      </c>
      <c r="N9" s="4">
        <v>16.087848644519337</v>
      </c>
      <c r="O9" s="4">
        <v>14.01853549065175</v>
      </c>
      <c r="P9" s="16">
        <v>13.816462576004994</v>
      </c>
      <c r="Q9" s="10">
        <f>SUM(E9:P9)</f>
        <v>148.81122211052562</v>
      </c>
      <c r="R9" s="58">
        <f>+Q9/12</f>
        <v>12.400935175877136</v>
      </c>
    </row>
    <row r="10" spans="3:18" x14ac:dyDescent="0.2">
      <c r="C10" s="143" t="s">
        <v>42</v>
      </c>
      <c r="D10" s="144"/>
      <c r="E10" s="4">
        <v>16.396208785461383</v>
      </c>
      <c r="F10" s="4">
        <v>11.926449710781332</v>
      </c>
      <c r="G10" s="4">
        <v>12.169614145464543</v>
      </c>
      <c r="H10" s="4">
        <v>10.324098958863472</v>
      </c>
      <c r="I10" s="4">
        <v>12.25823811140093</v>
      </c>
      <c r="J10" s="4">
        <v>11.207421926434423</v>
      </c>
      <c r="K10" s="4">
        <v>12.169614145464543</v>
      </c>
      <c r="L10" s="4">
        <v>12.144679716333016</v>
      </c>
      <c r="M10" s="4">
        <v>12.889477506928895</v>
      </c>
      <c r="N10" s="4">
        <v>23.900152247945048</v>
      </c>
      <c r="O10" s="4">
        <v>14.383124594299796</v>
      </c>
      <c r="P10" s="16">
        <v>8.7269408008901213</v>
      </c>
      <c r="Q10" s="10">
        <f>SUM(E10:P10)</f>
        <v>158.49602065026752</v>
      </c>
      <c r="R10" s="58">
        <f>+Q10/12</f>
        <v>13.208001720855627</v>
      </c>
    </row>
    <row r="14" spans="3:18" x14ac:dyDescent="0.2">
      <c r="D14" s="8">
        <v>2018</v>
      </c>
      <c r="E14" s="68" t="s">
        <v>0</v>
      </c>
      <c r="F14" s="68" t="s">
        <v>1</v>
      </c>
      <c r="G14" s="68" t="s">
        <v>2</v>
      </c>
      <c r="H14" s="68" t="s">
        <v>3</v>
      </c>
      <c r="I14" s="68" t="s">
        <v>4</v>
      </c>
      <c r="J14" s="68" t="s">
        <v>5</v>
      </c>
      <c r="K14" s="68" t="s">
        <v>43</v>
      </c>
      <c r="L14" s="68" t="s">
        <v>92</v>
      </c>
      <c r="M14" s="19" t="s">
        <v>99</v>
      </c>
      <c r="N14" s="69" t="s">
        <v>100</v>
      </c>
      <c r="O14" s="19" t="s">
        <v>101</v>
      </c>
      <c r="P14" s="19" t="s">
        <v>102</v>
      </c>
    </row>
    <row r="15" spans="3:18" x14ac:dyDescent="0.2">
      <c r="C15" s="143" t="s">
        <v>115</v>
      </c>
      <c r="D15" s="144"/>
      <c r="E15" s="71">
        <v>80296</v>
      </c>
      <c r="F15" s="4">
        <v>-4893.5625</v>
      </c>
      <c r="G15" s="4">
        <v>-2133.1187500000106</v>
      </c>
      <c r="H15" s="4">
        <v>48602</v>
      </c>
      <c r="I15" s="4">
        <v>18220</v>
      </c>
      <c r="J15" s="4">
        <v>35214</v>
      </c>
      <c r="K15" s="4">
        <v>43347</v>
      </c>
      <c r="L15" s="4">
        <v>-17838</v>
      </c>
      <c r="M15" s="4">
        <v>-30169</v>
      </c>
      <c r="N15" s="4">
        <v>22060</v>
      </c>
      <c r="O15" s="4">
        <v>46251</v>
      </c>
      <c r="P15" s="4">
        <v>-69280</v>
      </c>
    </row>
    <row r="16" spans="3:18" x14ac:dyDescent="0.2">
      <c r="C16" s="143" t="s">
        <v>123</v>
      </c>
      <c r="D16" s="144"/>
      <c r="E16" s="4">
        <v>126.847255424452</v>
      </c>
      <c r="F16" s="4">
        <v>111.57161139244153</v>
      </c>
      <c r="G16" s="4">
        <v>136.9962905179467</v>
      </c>
      <c r="H16" s="4">
        <v>142.25232252730694</v>
      </c>
      <c r="I16" s="4">
        <v>144.48101517791753</v>
      </c>
      <c r="J16" s="4">
        <v>134.0674751144652</v>
      </c>
      <c r="K16" s="4">
        <v>118.05415941225021</v>
      </c>
      <c r="L16" s="4">
        <v>156.65544445428128</v>
      </c>
      <c r="M16" s="4">
        <v>154.89271865460782</v>
      </c>
      <c r="N16" s="4">
        <v>141.83776938512634</v>
      </c>
      <c r="O16" s="4">
        <v>143.84602508620779</v>
      </c>
      <c r="P16" s="4">
        <v>152.61699954331914</v>
      </c>
    </row>
    <row r="17" spans="3:16" x14ac:dyDescent="0.2">
      <c r="C17" s="143" t="s">
        <v>124</v>
      </c>
      <c r="D17" s="144"/>
      <c r="E17" s="4">
        <v>177.57804013368704</v>
      </c>
      <c r="F17" s="4">
        <v>103.02779100051265</v>
      </c>
      <c r="G17" s="4">
        <v>171.29115419887393</v>
      </c>
      <c r="H17" s="4">
        <v>206.69284142411107</v>
      </c>
      <c r="I17" s="4">
        <v>170.63564705700966</v>
      </c>
      <c r="J17" s="4">
        <v>138.22960927546467</v>
      </c>
      <c r="K17" s="4">
        <v>129.78482035038152</v>
      </c>
      <c r="L17" s="4">
        <v>157.77939751369601</v>
      </c>
      <c r="M17" s="4">
        <v>197.61091291769552</v>
      </c>
      <c r="N17" s="4">
        <v>148.22947290372989</v>
      </c>
      <c r="O17" s="4">
        <v>211.84791680090194</v>
      </c>
      <c r="P17" s="4">
        <v>177.05627079147345</v>
      </c>
    </row>
    <row r="18" spans="3:16" x14ac:dyDescent="0.2">
      <c r="C18" s="143" t="s">
        <v>41</v>
      </c>
      <c r="D18" s="144"/>
      <c r="E18" s="4">
        <v>11.722137425108048</v>
      </c>
      <c r="F18" s="4">
        <v>11.379539828096986</v>
      </c>
      <c r="G18" s="4">
        <v>12.532802014377522</v>
      </c>
      <c r="H18" s="4">
        <v>13.273115190145209</v>
      </c>
      <c r="I18" s="4">
        <v>12.064030560023333</v>
      </c>
      <c r="J18" s="4">
        <v>12.951390518783196</v>
      </c>
      <c r="K18" s="71">
        <v>13.119355703395446</v>
      </c>
      <c r="L18" s="4">
        <v>13.16293996158457</v>
      </c>
      <c r="M18" s="4">
        <v>14.969104680058006</v>
      </c>
      <c r="N18" s="4">
        <v>13.00920367742696</v>
      </c>
      <c r="O18" s="4">
        <v>16.209554736614791</v>
      </c>
      <c r="P18" s="4">
        <v>14.923892947674013</v>
      </c>
    </row>
    <row r="19" spans="3:16" x14ac:dyDescent="0.2">
      <c r="C19" s="143" t="s">
        <v>42</v>
      </c>
      <c r="D19" s="144"/>
      <c r="E19" s="4">
        <v>13.721223892105662</v>
      </c>
      <c r="F19" s="4">
        <v>9.0195002649256484</v>
      </c>
      <c r="G19" s="4">
        <v>10.111173543979808</v>
      </c>
      <c r="H19" s="4">
        <v>12.179924796373975</v>
      </c>
      <c r="I19" s="4">
        <v>12.798070862690395</v>
      </c>
      <c r="J19" s="4">
        <v>13.521135824519808</v>
      </c>
      <c r="K19" s="4">
        <v>14.162738578453327</v>
      </c>
      <c r="L19" s="4">
        <v>12.824516314526504</v>
      </c>
      <c r="M19" s="4">
        <v>13.53119213481609</v>
      </c>
      <c r="N19" s="4">
        <v>13.629797642977547</v>
      </c>
      <c r="O19" s="4">
        <v>12.762449902179243</v>
      </c>
      <c r="P19" s="4">
        <v>12.264201575393574</v>
      </c>
    </row>
    <row r="22" spans="3:16" x14ac:dyDescent="0.2">
      <c r="D22" s="8">
        <v>2019</v>
      </c>
      <c r="E22" s="68" t="s">
        <v>0</v>
      </c>
      <c r="F22" s="68" t="s">
        <v>1</v>
      </c>
      <c r="G22" s="68" t="s">
        <v>2</v>
      </c>
      <c r="H22" s="68" t="s">
        <v>3</v>
      </c>
      <c r="I22" s="68" t="s">
        <v>4</v>
      </c>
      <c r="J22" s="68" t="s">
        <v>5</v>
      </c>
      <c r="K22" s="68" t="s">
        <v>43</v>
      </c>
      <c r="L22" s="68" t="s">
        <v>92</v>
      </c>
      <c r="M22" s="19" t="s">
        <v>99</v>
      </c>
      <c r="N22" s="69" t="s">
        <v>100</v>
      </c>
      <c r="O22" s="19" t="s">
        <v>101</v>
      </c>
      <c r="P22" s="19" t="s">
        <v>102</v>
      </c>
    </row>
    <row r="23" spans="3:16" x14ac:dyDescent="0.2">
      <c r="C23" s="143" t="s">
        <v>115</v>
      </c>
      <c r="D23" s="144"/>
      <c r="E23" s="71">
        <v>50187.28125</v>
      </c>
      <c r="F23" s="4">
        <v>-7462.6875</v>
      </c>
      <c r="G23" s="4">
        <v>-17395</v>
      </c>
      <c r="H23" s="4">
        <v>3924</v>
      </c>
      <c r="I23" s="4">
        <v>-510</v>
      </c>
      <c r="J23" s="4">
        <v>-2255.78125</v>
      </c>
      <c r="K23" s="4">
        <v>2451.3125</v>
      </c>
      <c r="L23" s="4">
        <v>-28899</v>
      </c>
      <c r="M23" s="4">
        <v>-4650.125</v>
      </c>
      <c r="N23" s="114">
        <v>-493847.33</v>
      </c>
      <c r="O23" s="4">
        <v>-247218.62</v>
      </c>
      <c r="P23" s="4"/>
    </row>
    <row r="24" spans="3:16" x14ac:dyDescent="0.2">
      <c r="C24" s="143" t="s">
        <v>123</v>
      </c>
      <c r="D24" s="144"/>
      <c r="E24" s="4">
        <v>152.77129363519322</v>
      </c>
      <c r="F24" s="4">
        <v>182.86327880780451</v>
      </c>
      <c r="G24" s="4">
        <v>177.60478740974614</v>
      </c>
      <c r="H24" s="4">
        <v>181.6366590328133</v>
      </c>
      <c r="I24" s="4">
        <v>198.01973516220542</v>
      </c>
      <c r="J24" s="4">
        <v>199.16092976741916</v>
      </c>
      <c r="K24" s="4">
        <v>179.13476641716818</v>
      </c>
      <c r="L24" s="4">
        <v>173.51562666693229</v>
      </c>
      <c r="M24" s="4">
        <v>175.63059014507724</v>
      </c>
      <c r="N24" s="114">
        <v>182.8567765290793</v>
      </c>
      <c r="O24" s="4">
        <v>171.77652040185788</v>
      </c>
      <c r="P24" s="4"/>
    </row>
    <row r="25" spans="3:16" x14ac:dyDescent="0.2">
      <c r="C25" s="143" t="s">
        <v>124</v>
      </c>
      <c r="D25" s="144"/>
      <c r="E25" s="4">
        <v>177.05627079147345</v>
      </c>
      <c r="F25" s="4">
        <v>159.75895078365974</v>
      </c>
      <c r="G25" s="4">
        <v>198.42849848025438</v>
      </c>
      <c r="H25" s="4">
        <v>209.64388798211081</v>
      </c>
      <c r="I25" s="4">
        <v>221.50619478396138</v>
      </c>
      <c r="J25" s="4">
        <v>222.09594297332598</v>
      </c>
      <c r="K25" s="4">
        <v>218.57920451156582</v>
      </c>
      <c r="L25" s="4">
        <v>198.27780666299728</v>
      </c>
      <c r="M25" s="4">
        <v>199.26919569631224</v>
      </c>
      <c r="N25" s="114">
        <v>119.66797924000556</v>
      </c>
      <c r="O25" s="4">
        <v>182.53672679553083</v>
      </c>
      <c r="P25" s="4"/>
    </row>
    <row r="26" spans="3:16" x14ac:dyDescent="0.2">
      <c r="C26" s="143" t="s">
        <v>41</v>
      </c>
      <c r="D26" s="144"/>
      <c r="E26" s="4">
        <v>12.203063501507135</v>
      </c>
      <c r="F26" s="4">
        <v>14.770918315517957</v>
      </c>
      <c r="G26" s="4">
        <v>13.024306314877386</v>
      </c>
      <c r="H26" s="4">
        <v>12.786594472093979</v>
      </c>
      <c r="I26" s="4">
        <v>12.440916727791436</v>
      </c>
      <c r="J26" s="4">
        <v>12.271927924503666</v>
      </c>
      <c r="K26" s="71">
        <v>13.616989767685288</v>
      </c>
      <c r="L26" s="4">
        <v>13.684490074268423</v>
      </c>
      <c r="M26" s="4">
        <v>14.239139956550375</v>
      </c>
      <c r="N26" s="114">
        <v>13.938280495935611</v>
      </c>
      <c r="O26" s="4">
        <v>14.145357545253752</v>
      </c>
      <c r="P26" s="4"/>
    </row>
    <row r="27" spans="3:16" x14ac:dyDescent="0.2">
      <c r="C27" s="143" t="s">
        <v>42</v>
      </c>
      <c r="D27" s="144"/>
      <c r="E27" s="4">
        <v>14.910253414315056</v>
      </c>
      <c r="F27" s="4">
        <v>11.136586020495336</v>
      </c>
      <c r="G27" s="4">
        <v>13.051498831474737</v>
      </c>
      <c r="H27" s="4">
        <v>12.59</v>
      </c>
      <c r="I27" s="4">
        <v>12.400401367137551</v>
      </c>
      <c r="J27" s="4">
        <v>11.313021381383985</v>
      </c>
      <c r="K27" s="4">
        <v>14.891531418549539</v>
      </c>
      <c r="L27" s="4">
        <v>13.175617057588498</v>
      </c>
      <c r="M27" s="4">
        <v>12.781152814047655</v>
      </c>
      <c r="N27" s="114">
        <v>6.3365302087353141</v>
      </c>
      <c r="O27" s="4">
        <v>12.654128342488157</v>
      </c>
      <c r="P27" s="4"/>
    </row>
  </sheetData>
  <mergeCells count="16">
    <mergeCell ref="C23:D23"/>
    <mergeCell ref="C24:D24"/>
    <mergeCell ref="C25:D25"/>
    <mergeCell ref="C26:D26"/>
    <mergeCell ref="C27:D27"/>
    <mergeCell ref="C10:D10"/>
    <mergeCell ref="J3:L3"/>
    <mergeCell ref="C6:D6"/>
    <mergeCell ref="C7:D7"/>
    <mergeCell ref="C8:D8"/>
    <mergeCell ref="C9:D9"/>
    <mergeCell ref="C15:D15"/>
    <mergeCell ref="C16:D16"/>
    <mergeCell ref="C17:D17"/>
    <mergeCell ref="C18:D18"/>
    <mergeCell ref="C19:D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"/>
  <sheetViews>
    <sheetView topLeftCell="C1" workbookViewId="0">
      <selection activeCell="Q15" sqref="Q15"/>
    </sheetView>
  </sheetViews>
  <sheetFormatPr baseColWidth="10" defaultRowHeight="11.25" x14ac:dyDescent="0.2"/>
  <cols>
    <col min="1" max="16384" width="11.42578125" style="8"/>
  </cols>
  <sheetData>
    <row r="2" spans="2:18" x14ac:dyDescent="0.2">
      <c r="G2" s="141" t="s">
        <v>106</v>
      </c>
      <c r="H2" s="141"/>
      <c r="I2" s="141"/>
      <c r="J2" s="141"/>
      <c r="K2" s="141"/>
      <c r="L2" s="141"/>
    </row>
    <row r="4" spans="2:18" x14ac:dyDescent="0.2"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3" t="s">
        <v>5</v>
      </c>
      <c r="J4" s="13" t="s">
        <v>43</v>
      </c>
      <c r="K4" s="13" t="s">
        <v>92</v>
      </c>
      <c r="L4" s="14" t="s">
        <v>99</v>
      </c>
      <c r="M4" s="14" t="s">
        <v>100</v>
      </c>
      <c r="N4" s="14" t="s">
        <v>101</v>
      </c>
      <c r="O4" s="14" t="s">
        <v>102</v>
      </c>
      <c r="Q4" s="8" t="s">
        <v>130</v>
      </c>
    </row>
    <row r="5" spans="2:18" ht="22.5" x14ac:dyDescent="0.2">
      <c r="B5" s="5">
        <v>2017</v>
      </c>
      <c r="C5" s="15" t="s">
        <v>89</v>
      </c>
      <c r="D5" s="16">
        <v>85.841204575044699</v>
      </c>
      <c r="E5" s="16">
        <v>95.038476493799479</v>
      </c>
      <c r="F5" s="16">
        <v>81.634063446079708</v>
      </c>
      <c r="G5" s="16">
        <v>97.03659281735527</v>
      </c>
      <c r="H5" s="16">
        <v>95.483599856674985</v>
      </c>
      <c r="I5" s="16">
        <v>101.65894473403749</v>
      </c>
      <c r="J5" s="16">
        <v>91.141061586542406</v>
      </c>
      <c r="K5" s="16">
        <v>81.678077623554913</v>
      </c>
      <c r="L5" s="16">
        <v>76.713767867543098</v>
      </c>
      <c r="M5" s="16">
        <v>64.0803066680227</v>
      </c>
      <c r="N5" s="16">
        <v>77.706804231921069</v>
      </c>
      <c r="O5" s="16">
        <v>83.457225686915777</v>
      </c>
      <c r="P5" s="16">
        <f>SUM(D5:O5)</f>
        <v>1031.4701255874916</v>
      </c>
      <c r="Q5" s="8">
        <f>+P5/12</f>
        <v>85.95584379895763</v>
      </c>
    </row>
    <row r="6" spans="2:18" ht="22.5" x14ac:dyDescent="0.2">
      <c r="B6" s="5">
        <v>2017</v>
      </c>
      <c r="C6" s="15" t="s">
        <v>90</v>
      </c>
      <c r="D6" s="16">
        <v>144.09422046025074</v>
      </c>
      <c r="E6" s="16">
        <v>127.63929519475595</v>
      </c>
      <c r="F6" s="16">
        <v>123.73236938358595</v>
      </c>
      <c r="G6" s="16">
        <v>134.04120844393884</v>
      </c>
      <c r="H6" s="16">
        <v>139.85942284707741</v>
      </c>
      <c r="I6" s="16">
        <v>142.36032107192503</v>
      </c>
      <c r="J6" s="16">
        <v>124.70029481204203</v>
      </c>
      <c r="K6" s="16">
        <v>128</v>
      </c>
      <c r="L6" s="16">
        <v>108</v>
      </c>
      <c r="M6" s="17">
        <v>112</v>
      </c>
      <c r="N6" s="17">
        <v>121</v>
      </c>
      <c r="O6" s="16">
        <v>120.62369261257294</v>
      </c>
      <c r="P6" s="16">
        <f>SUM(D6:O6)</f>
        <v>1526.050824826149</v>
      </c>
      <c r="Q6" s="8">
        <f>+P6/12</f>
        <v>127.17090206884575</v>
      </c>
      <c r="R6" s="21">
        <f>+Q5/Q6</f>
        <v>0.67590810791311551</v>
      </c>
    </row>
    <row r="9" spans="2:18" x14ac:dyDescent="0.2">
      <c r="D9" s="12" t="s">
        <v>0</v>
      </c>
      <c r="E9" s="12" t="s">
        <v>1</v>
      </c>
      <c r="F9" s="12" t="s">
        <v>2</v>
      </c>
      <c r="G9" s="12" t="s">
        <v>3</v>
      </c>
      <c r="H9" s="12" t="s">
        <v>4</v>
      </c>
      <c r="I9" s="13" t="s">
        <v>5</v>
      </c>
      <c r="J9" s="13" t="s">
        <v>43</v>
      </c>
      <c r="K9" s="13" t="s">
        <v>92</v>
      </c>
      <c r="L9" s="14" t="s">
        <v>99</v>
      </c>
      <c r="M9" s="14" t="s">
        <v>100</v>
      </c>
      <c r="N9" s="14" t="s">
        <v>101</v>
      </c>
      <c r="O9" s="14" t="s">
        <v>102</v>
      </c>
    </row>
    <row r="10" spans="2:18" ht="22.5" x14ac:dyDescent="0.2">
      <c r="B10" s="5">
        <v>2018</v>
      </c>
      <c r="C10" s="15" t="s">
        <v>89</v>
      </c>
      <c r="D10" s="16">
        <v>64.150000000000006</v>
      </c>
      <c r="E10" s="16">
        <v>90.959428330823329</v>
      </c>
      <c r="F10" s="16">
        <v>89.553540296033802</v>
      </c>
      <c r="G10" s="16">
        <v>96.437146522701781</v>
      </c>
      <c r="H10" s="16">
        <v>97.889372652828882</v>
      </c>
      <c r="I10" s="16">
        <v>104.77216514493614</v>
      </c>
      <c r="J10" s="16">
        <v>73.811833288680475</v>
      </c>
      <c r="K10" s="16">
        <v>91.114028713879776</v>
      </c>
      <c r="L10" s="16">
        <v>79.270893463127877</v>
      </c>
      <c r="M10" s="16">
        <v>84.539289827005149</v>
      </c>
      <c r="N10" s="16">
        <v>91.830098582111304</v>
      </c>
      <c r="O10" s="16">
        <v>79.05</v>
      </c>
      <c r="P10" s="58">
        <f>SUM(D10:O10)</f>
        <v>1043.3777968221284</v>
      </c>
      <c r="Q10" s="8">
        <f>+P10/12</f>
        <v>86.948149735177367</v>
      </c>
    </row>
    <row r="11" spans="2:18" ht="22.5" x14ac:dyDescent="0.2">
      <c r="B11" s="5">
        <v>2018</v>
      </c>
      <c r="C11" s="15" t="s">
        <v>90</v>
      </c>
      <c r="D11" s="16">
        <v>140.60544458832806</v>
      </c>
      <c r="E11" s="16">
        <v>140.36619357319066</v>
      </c>
      <c r="F11" s="16">
        <v>162.899970339075</v>
      </c>
      <c r="G11" s="16">
        <v>168.73925394333557</v>
      </c>
      <c r="H11" s="16">
        <v>157.07</v>
      </c>
      <c r="I11" s="16">
        <v>113.98500576701268</v>
      </c>
      <c r="J11" s="99">
        <f>+(77329/20892)*1000/30</f>
        <v>123.37896483502458</v>
      </c>
      <c r="K11" s="16">
        <v>120.31735293213198</v>
      </c>
      <c r="L11" s="16">
        <v>104.40961636178862</v>
      </c>
      <c r="M11" s="17">
        <v>108.3921227314239</v>
      </c>
      <c r="N11" s="17">
        <v>112.01</v>
      </c>
      <c r="O11" s="16">
        <v>111.75421203052613</v>
      </c>
      <c r="P11" s="58">
        <f>SUM(D11:O11)</f>
        <v>1563.9281371018371</v>
      </c>
      <c r="Q11" s="8">
        <f>+P11/12</f>
        <v>130.32734475848642</v>
      </c>
      <c r="R11" s="21">
        <f>+Q10/Q11</f>
        <v>0.66715200786376516</v>
      </c>
    </row>
    <row r="12" spans="2:18" x14ac:dyDescent="0.2">
      <c r="D12" s="21">
        <f>+D10/D11</f>
        <v>0.45624122300400044</v>
      </c>
      <c r="E12" s="21">
        <f t="shared" ref="E12:O12" si="0">+E10/E11</f>
        <v>0.64801520946989755</v>
      </c>
      <c r="F12" s="21">
        <f t="shared" si="0"/>
        <v>0.54974558994473</v>
      </c>
      <c r="G12" s="21">
        <f t="shared" si="0"/>
        <v>0.57151578111804613</v>
      </c>
      <c r="H12" s="21">
        <f t="shared" si="0"/>
        <v>0.62322131949340354</v>
      </c>
      <c r="I12" s="21">
        <f t="shared" si="0"/>
        <v>0.91917497779569579</v>
      </c>
      <c r="J12" s="21">
        <f t="shared" si="0"/>
        <v>0.59825297924469956</v>
      </c>
      <c r="K12" s="21">
        <f t="shared" si="0"/>
        <v>0.75728086176625686</v>
      </c>
      <c r="L12" s="21">
        <f t="shared" si="0"/>
        <v>0.75922981259165989</v>
      </c>
      <c r="M12" s="21">
        <f t="shared" si="0"/>
        <v>0.77993942453252108</v>
      </c>
      <c r="N12" s="21">
        <f t="shared" si="0"/>
        <v>0.81983839462647357</v>
      </c>
      <c r="O12" s="21">
        <f t="shared" si="0"/>
        <v>0.70735588899689217</v>
      </c>
    </row>
    <row r="14" spans="2:18" x14ac:dyDescent="0.2">
      <c r="D14" s="12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3" t="s">
        <v>5</v>
      </c>
      <c r="J14" s="13" t="s">
        <v>43</v>
      </c>
      <c r="K14" s="13" t="s">
        <v>92</v>
      </c>
      <c r="L14" s="14" t="s">
        <v>99</v>
      </c>
      <c r="M14" s="14" t="s">
        <v>100</v>
      </c>
      <c r="N14" s="14" t="s">
        <v>101</v>
      </c>
      <c r="O14" s="14" t="s">
        <v>102</v>
      </c>
    </row>
    <row r="15" spans="2:18" ht="22.5" x14ac:dyDescent="0.2">
      <c r="B15" s="5">
        <v>2019</v>
      </c>
      <c r="C15" s="15" t="s">
        <v>89</v>
      </c>
      <c r="D15" s="16">
        <v>78.602620637353525</v>
      </c>
      <c r="E15" s="16">
        <v>105.37915091352336</v>
      </c>
      <c r="F15" s="16">
        <v>103.27264434077914</v>
      </c>
      <c r="G15" s="16">
        <v>111.56</v>
      </c>
      <c r="H15" s="16">
        <v>121.91775825555568</v>
      </c>
      <c r="I15" s="16">
        <v>121.47</v>
      </c>
      <c r="J15" s="16">
        <v>100.05814025240393</v>
      </c>
      <c r="K15" s="16">
        <v>96.029506184795068</v>
      </c>
      <c r="L15" s="16">
        <v>103.35169038182426</v>
      </c>
      <c r="M15" s="16">
        <v>103.21</v>
      </c>
      <c r="N15" s="16">
        <v>96.49</v>
      </c>
      <c r="O15" s="16"/>
      <c r="P15" s="58">
        <f>SUM(D15:O15)</f>
        <v>1141.3415109662351</v>
      </c>
      <c r="Q15" s="8">
        <f>+P15/12</f>
        <v>95.111792580519591</v>
      </c>
    </row>
    <row r="16" spans="2:18" ht="22.5" x14ac:dyDescent="0.2">
      <c r="B16" s="5">
        <v>2019</v>
      </c>
      <c r="C16" s="15" t="s">
        <v>90</v>
      </c>
      <c r="D16" s="16">
        <v>112.05217442166526</v>
      </c>
      <c r="E16" s="16">
        <v>118.88613285791799</v>
      </c>
      <c r="F16" s="16">
        <v>136.28285037361033</v>
      </c>
      <c r="G16" s="16">
        <v>142.59995183044319</v>
      </c>
      <c r="H16" s="16">
        <v>156.91345807844547</v>
      </c>
      <c r="I16" s="16">
        <v>133.36028266858304</v>
      </c>
      <c r="J16" s="99">
        <v>126.68321520534573</v>
      </c>
      <c r="K16" s="16">
        <v>128.60502770480267</v>
      </c>
      <c r="L16" s="16">
        <v>130.22017363286494</v>
      </c>
      <c r="M16" s="17">
        <v>123.749528327702</v>
      </c>
      <c r="N16" s="17">
        <v>122.32684755444484</v>
      </c>
      <c r="O16" s="16"/>
      <c r="P16" s="58">
        <f>SUM(D16:O16)</f>
        <v>1431.6796426558255</v>
      </c>
      <c r="Q16" s="8">
        <f>+P16/12</f>
        <v>119.30663688798546</v>
      </c>
      <c r="R16" s="21">
        <f>+Q15/Q16</f>
        <v>0.79720454001077989</v>
      </c>
    </row>
    <row r="17" spans="4:15" x14ac:dyDescent="0.2">
      <c r="D17" s="21">
        <f>+D15/D16</f>
        <v>0.70148233216396849</v>
      </c>
      <c r="E17" s="21">
        <f t="shared" ref="E17:O17" si="1">+E15/E16</f>
        <v>0.88638723777366912</v>
      </c>
      <c r="F17" s="21">
        <f t="shared" si="1"/>
        <v>0.75778165820324483</v>
      </c>
      <c r="G17" s="21">
        <f t="shared" si="1"/>
        <v>0.78232845500992254</v>
      </c>
      <c r="H17" s="21">
        <f t="shared" si="1"/>
        <v>0.77697451670847473</v>
      </c>
      <c r="I17" s="21">
        <f t="shared" si="1"/>
        <v>0.91084090082403413</v>
      </c>
      <c r="J17" s="21">
        <f t="shared" si="1"/>
        <v>0.78982949785585888</v>
      </c>
      <c r="K17" s="21">
        <f t="shared" si="1"/>
        <v>0.74670102637992675</v>
      </c>
      <c r="L17" s="21">
        <f t="shared" si="1"/>
        <v>0.79366881104926112</v>
      </c>
      <c r="M17" s="21">
        <f t="shared" si="1"/>
        <v>0.8340233808947447</v>
      </c>
      <c r="N17" s="21">
        <f t="shared" si="1"/>
        <v>0.78878841341067452</v>
      </c>
      <c r="O17" s="21" t="e">
        <f t="shared" si="1"/>
        <v>#DIV/0!</v>
      </c>
    </row>
  </sheetData>
  <protectedRanges>
    <protectedRange sqref="J11 J16" name="horas_1_1_1_1_1"/>
  </protectedRanges>
  <mergeCells count="1">
    <mergeCell ref="G2:L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16"/>
  <sheetViews>
    <sheetView topLeftCell="E42" workbookViewId="0">
      <selection activeCell="M112" sqref="M112"/>
    </sheetView>
  </sheetViews>
  <sheetFormatPr baseColWidth="10" defaultRowHeight="11.25" x14ac:dyDescent="0.2"/>
  <cols>
    <col min="1" max="1" width="0.7109375" style="8" customWidth="1"/>
    <col min="2" max="2" width="32.5703125" style="8" customWidth="1"/>
    <col min="3" max="3" width="14.140625" style="8" customWidth="1"/>
    <col min="4" max="4" width="11.7109375" style="8" bestFit="1" customWidth="1"/>
    <col min="5" max="5" width="12.42578125" style="8" customWidth="1"/>
    <col min="6" max="6" width="14.42578125" style="8" customWidth="1"/>
    <col min="7" max="7" width="13.85546875" style="8" customWidth="1"/>
    <col min="8" max="12" width="11.7109375" style="8" bestFit="1" customWidth="1"/>
    <col min="13" max="16384" width="11.42578125" style="8"/>
  </cols>
  <sheetData>
    <row r="2" spans="2:13" x14ac:dyDescent="0.2">
      <c r="G2" s="8">
        <v>2017</v>
      </c>
    </row>
    <row r="4" spans="2:13" x14ac:dyDescent="0.2">
      <c r="C4" s="84" t="s">
        <v>44</v>
      </c>
      <c r="D4" s="84" t="s">
        <v>45</v>
      </c>
      <c r="E4" s="84" t="s">
        <v>3</v>
      </c>
      <c r="F4" s="84" t="s">
        <v>4</v>
      </c>
      <c r="G4" s="84" t="s">
        <v>5</v>
      </c>
      <c r="H4" s="84" t="s">
        <v>43</v>
      </c>
      <c r="I4" s="84" t="s">
        <v>93</v>
      </c>
      <c r="J4" s="84" t="s">
        <v>99</v>
      </c>
      <c r="K4" s="84" t="s">
        <v>100</v>
      </c>
      <c r="L4" s="84" t="s">
        <v>101</v>
      </c>
      <c r="M4" s="84" t="s">
        <v>102</v>
      </c>
    </row>
    <row r="5" spans="2:13" x14ac:dyDescent="0.2">
      <c r="B5" s="85" t="s">
        <v>46</v>
      </c>
      <c r="C5" s="86">
        <v>1868910.52</v>
      </c>
      <c r="D5" s="87">
        <v>793462.5</v>
      </c>
      <c r="E5" s="86">
        <v>763430.21</v>
      </c>
      <c r="F5" s="88">
        <f>[2]Sheet1!$J$30</f>
        <v>863513.78</v>
      </c>
      <c r="G5" s="86">
        <v>1006672</v>
      </c>
      <c r="H5" s="89">
        <v>812598.52</v>
      </c>
      <c r="I5" s="5">
        <v>911772.59</v>
      </c>
      <c r="J5" s="5">
        <v>726846</v>
      </c>
      <c r="K5" s="5">
        <v>911772.59</v>
      </c>
      <c r="L5" s="5">
        <v>726846</v>
      </c>
      <c r="M5" s="5">
        <v>861396</v>
      </c>
    </row>
    <row r="6" spans="2:13" x14ac:dyDescent="0.2">
      <c r="B6" s="85" t="s">
        <v>47</v>
      </c>
      <c r="C6" s="86">
        <v>725820.37</v>
      </c>
      <c r="D6" s="87">
        <v>617659.5</v>
      </c>
      <c r="E6" s="86">
        <v>598597.21</v>
      </c>
      <c r="F6" s="88">
        <f>[2]Sheet1!$J$6</f>
        <v>711808.78</v>
      </c>
      <c r="G6" s="86">
        <v>695111</v>
      </c>
      <c r="H6" s="90">
        <v>656027.52</v>
      </c>
      <c r="I6" s="5">
        <v>680321</v>
      </c>
      <c r="J6" s="5">
        <v>604975</v>
      </c>
      <c r="K6" s="5">
        <v>680321</v>
      </c>
      <c r="L6" s="5">
        <v>604975</v>
      </c>
      <c r="M6" s="5">
        <v>721017</v>
      </c>
    </row>
    <row r="7" spans="2:13" x14ac:dyDescent="0.2">
      <c r="B7" s="85" t="s">
        <v>48</v>
      </c>
      <c r="C7" s="86">
        <v>36034.15</v>
      </c>
      <c r="D7" s="87">
        <v>22446</v>
      </c>
      <c r="E7" s="86">
        <v>21155</v>
      </c>
      <c r="F7" s="88">
        <f>[2]Sheet1!$J$4</f>
        <v>23884</v>
      </c>
      <c r="G7" s="86">
        <v>23707</v>
      </c>
      <c r="H7" s="90">
        <v>23017</v>
      </c>
      <c r="I7" s="5">
        <v>23134</v>
      </c>
      <c r="J7" s="5">
        <v>21401</v>
      </c>
      <c r="K7" s="5">
        <v>23134</v>
      </c>
      <c r="L7" s="5">
        <v>21401</v>
      </c>
      <c r="M7" s="5">
        <v>24005</v>
      </c>
    </row>
    <row r="8" spans="2:13" x14ac:dyDescent="0.2">
      <c r="B8" s="85" t="s">
        <v>49</v>
      </c>
      <c r="C8" s="86">
        <v>71519.100000000006</v>
      </c>
      <c r="D8" s="87">
        <v>44065</v>
      </c>
      <c r="E8" s="86">
        <v>41920</v>
      </c>
      <c r="F8" s="88">
        <f>[2]Sheet1!$J$26</f>
        <v>47543</v>
      </c>
      <c r="G8" s="86">
        <v>47245</v>
      </c>
      <c r="H8" s="90">
        <v>45938</v>
      </c>
      <c r="I8" s="5">
        <v>46250</v>
      </c>
      <c r="J8" s="5">
        <v>42772</v>
      </c>
      <c r="K8" s="5">
        <v>46250</v>
      </c>
      <c r="L8" s="5">
        <v>42772</v>
      </c>
      <c r="M8" s="5">
        <v>47731</v>
      </c>
    </row>
    <row r="9" spans="2:13" x14ac:dyDescent="0.2">
      <c r="B9" s="85" t="s">
        <v>50</v>
      </c>
      <c r="C9" s="86">
        <v>831</v>
      </c>
      <c r="D9" s="87">
        <v>621</v>
      </c>
      <c r="E9" s="86">
        <v>2145</v>
      </c>
      <c r="F9" s="88">
        <f>3066</f>
        <v>3066</v>
      </c>
      <c r="G9" s="86">
        <v>2220</v>
      </c>
      <c r="H9" s="90">
        <v>120</v>
      </c>
      <c r="I9" s="5">
        <v>1440</v>
      </c>
      <c r="J9" s="5"/>
      <c r="K9" s="5">
        <v>510</v>
      </c>
      <c r="L9" s="5">
        <v>1704</v>
      </c>
      <c r="M9" s="5">
        <v>3388</v>
      </c>
    </row>
    <row r="10" spans="2:13" x14ac:dyDescent="0.2">
      <c r="B10" s="85" t="s">
        <v>51</v>
      </c>
      <c r="C10" s="86">
        <v>23055</v>
      </c>
      <c r="D10" s="87">
        <v>15592</v>
      </c>
      <c r="E10" s="86">
        <v>14273</v>
      </c>
      <c r="F10" s="88">
        <f>[2]Sheet1!$J$10+[2]Sheet1!$J$11</f>
        <v>12619</v>
      </c>
      <c r="G10" s="86">
        <v>12492</v>
      </c>
      <c r="H10" s="90">
        <v>13915</v>
      </c>
      <c r="I10" s="5">
        <v>8122</v>
      </c>
      <c r="J10" s="5">
        <v>7320</v>
      </c>
      <c r="K10" s="5">
        <v>8122</v>
      </c>
      <c r="L10" s="5">
        <v>7320</v>
      </c>
      <c r="M10" s="5">
        <v>10073</v>
      </c>
    </row>
    <row r="11" spans="2:13" x14ac:dyDescent="0.2">
      <c r="B11" s="85" t="s">
        <v>52</v>
      </c>
      <c r="C11" s="86">
        <v>21009</v>
      </c>
      <c r="D11" s="87">
        <v>10002</v>
      </c>
      <c r="E11" s="86">
        <v>1719</v>
      </c>
      <c r="F11" s="88">
        <f>[2]Sheet1!$J$23-F16-F9</f>
        <v>2361</v>
      </c>
      <c r="G11" s="86">
        <v>3894</v>
      </c>
      <c r="H11" s="90">
        <v>2910</v>
      </c>
      <c r="I11" s="5">
        <v>4230</v>
      </c>
      <c r="J11" s="5">
        <v>4233</v>
      </c>
      <c r="K11" s="5">
        <v>4468</v>
      </c>
      <c r="L11" s="5">
        <v>5169</v>
      </c>
      <c r="M11" s="5">
        <v>-1938</v>
      </c>
    </row>
    <row r="12" spans="2:13" x14ac:dyDescent="0.2">
      <c r="B12" s="85" t="s">
        <v>53</v>
      </c>
      <c r="C12" s="86">
        <v>1801</v>
      </c>
      <c r="D12" s="87">
        <v>1053</v>
      </c>
      <c r="E12" s="86">
        <v>377</v>
      </c>
      <c r="F12" s="88">
        <f>[2]Sheet1!$J$22</f>
        <v>666</v>
      </c>
      <c r="G12" s="86">
        <v>587</v>
      </c>
      <c r="H12" s="90">
        <v>437</v>
      </c>
      <c r="I12" s="5">
        <v>882</v>
      </c>
      <c r="J12" s="5">
        <v>241</v>
      </c>
      <c r="K12" s="5">
        <v>882</v>
      </c>
      <c r="L12" s="5">
        <v>241</v>
      </c>
      <c r="M12" s="5">
        <v>580</v>
      </c>
    </row>
    <row r="13" spans="2:13" x14ac:dyDescent="0.2">
      <c r="B13" s="85" t="s">
        <v>54</v>
      </c>
      <c r="C13" s="86">
        <v>888202.65</v>
      </c>
      <c r="D13" s="87">
        <v>26093</v>
      </c>
      <c r="E13" s="86">
        <v>3171</v>
      </c>
      <c r="F13" s="88">
        <f>[2]Sheet1!$J$5+[2]Sheet1!$J$7+[2]Sheet1!$J$27</f>
        <v>1204</v>
      </c>
      <c r="G13" s="86">
        <v>0</v>
      </c>
      <c r="H13" s="90">
        <v>1236</v>
      </c>
      <c r="I13" s="5">
        <v>573</v>
      </c>
      <c r="J13" s="5">
        <v>0</v>
      </c>
      <c r="K13" s="5">
        <v>573</v>
      </c>
      <c r="L13" s="5">
        <v>0</v>
      </c>
      <c r="M13" s="5">
        <v>296</v>
      </c>
    </row>
    <row r="14" spans="2:13" x14ac:dyDescent="0.2">
      <c r="B14" s="85" t="s">
        <v>55</v>
      </c>
      <c r="C14" s="86">
        <v>71551</v>
      </c>
      <c r="D14" s="87">
        <v>33086</v>
      </c>
      <c r="E14" s="86">
        <v>61048</v>
      </c>
      <c r="F14" s="88">
        <f>[2]Sheet1!$J$8+[2]Sheet1!$J$9+[2]Sheet1!$J$16+[2]Sheet1!$J$17+[2]Sheet1!$J$18+[2]Sheet1!$J$25</f>
        <v>39059</v>
      </c>
      <c r="G14" s="86">
        <v>37561</v>
      </c>
      <c r="H14" s="90">
        <v>49490</v>
      </c>
      <c r="I14" s="5">
        <v>22079</v>
      </c>
      <c r="J14" s="5">
        <v>28676</v>
      </c>
      <c r="K14" s="5">
        <v>22079</v>
      </c>
      <c r="L14" s="5">
        <v>28676</v>
      </c>
      <c r="M14" s="5">
        <v>36632</v>
      </c>
    </row>
    <row r="15" spans="2:13" x14ac:dyDescent="0.2">
      <c r="B15" s="85" t="s">
        <v>56</v>
      </c>
      <c r="C15" s="86">
        <v>12386.25</v>
      </c>
      <c r="D15" s="87">
        <v>14130</v>
      </c>
      <c r="E15" s="86">
        <v>9477</v>
      </c>
      <c r="F15" s="88">
        <v>11180</v>
      </c>
      <c r="G15" s="86">
        <v>8536</v>
      </c>
      <c r="H15" s="90">
        <v>13785</v>
      </c>
      <c r="I15" s="5">
        <v>12679.59</v>
      </c>
      <c r="J15" s="5">
        <v>14588</v>
      </c>
      <c r="K15" s="5">
        <v>19612</v>
      </c>
      <c r="L15" s="5">
        <v>314261</v>
      </c>
      <c r="M15" s="5">
        <v>96815</v>
      </c>
    </row>
    <row r="16" spans="2:13" x14ac:dyDescent="0.2">
      <c r="B16" s="85" t="s">
        <v>57</v>
      </c>
      <c r="C16" s="86">
        <v>16701</v>
      </c>
      <c r="D16" s="87">
        <v>8715</v>
      </c>
      <c r="E16" s="86">
        <v>9548</v>
      </c>
      <c r="F16" s="88">
        <v>10123</v>
      </c>
      <c r="G16" s="86">
        <v>7482</v>
      </c>
      <c r="H16" s="90">
        <v>5723</v>
      </c>
      <c r="I16" s="5">
        <v>748</v>
      </c>
      <c r="J16" s="5">
        <v>2640</v>
      </c>
      <c r="K16" s="5">
        <v>0</v>
      </c>
      <c r="L16" s="5">
        <v>0</v>
      </c>
      <c r="M16" s="5">
        <v>0</v>
      </c>
    </row>
    <row r="17" spans="2:13" x14ac:dyDescent="0.2">
      <c r="B17" s="85" t="s">
        <v>58</v>
      </c>
      <c r="C17" s="86">
        <v>0</v>
      </c>
      <c r="D17" s="91">
        <v>0</v>
      </c>
      <c r="E17" s="86">
        <v>0</v>
      </c>
      <c r="F17" s="88">
        <v>0</v>
      </c>
      <c r="G17" s="86">
        <v>167837</v>
      </c>
      <c r="H17" s="90">
        <v>0</v>
      </c>
      <c r="I17" s="5">
        <v>111194</v>
      </c>
      <c r="J17" s="5">
        <v>0</v>
      </c>
      <c r="K17" s="5">
        <v>111194</v>
      </c>
      <c r="L17" s="5">
        <v>0</v>
      </c>
      <c r="M17" s="5">
        <v>0</v>
      </c>
    </row>
    <row r="18" spans="2:13" x14ac:dyDescent="0.2">
      <c r="B18" s="85" t="s">
        <v>59</v>
      </c>
      <c r="C18" s="86">
        <v>0</v>
      </c>
      <c r="D18" s="87">
        <v>0</v>
      </c>
      <c r="E18" s="86">
        <v>0</v>
      </c>
      <c r="F18" s="88">
        <v>0</v>
      </c>
      <c r="G18" s="86"/>
      <c r="H18" s="90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2:13" x14ac:dyDescent="0.2">
      <c r="B19" s="85" t="s">
        <v>60</v>
      </c>
      <c r="C19" s="86">
        <v>0</v>
      </c>
      <c r="D19" s="87">
        <v>0</v>
      </c>
      <c r="E19" s="86">
        <v>0</v>
      </c>
      <c r="F19" s="88">
        <v>0</v>
      </c>
      <c r="G19" s="86"/>
      <c r="H19" s="90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2" spans="2:13" x14ac:dyDescent="0.2">
      <c r="B22" s="97" t="s">
        <v>61</v>
      </c>
      <c r="C22" s="96">
        <v>1220922.57</v>
      </c>
      <c r="D22" s="87">
        <v>922564.4300000004</v>
      </c>
      <c r="E22" s="86">
        <v>1028328.48</v>
      </c>
      <c r="F22" s="88">
        <v>814861.33</v>
      </c>
      <c r="G22" s="86">
        <v>712916.59</v>
      </c>
      <c r="H22" s="94">
        <v>495660.9</v>
      </c>
      <c r="I22" s="5">
        <v>911652.59</v>
      </c>
      <c r="J22" s="5">
        <v>726846</v>
      </c>
      <c r="K22" s="82">
        <v>684737.47</v>
      </c>
      <c r="L22" s="83">
        <v>675771.04</v>
      </c>
      <c r="M22" s="83">
        <v>631061.94999999995</v>
      </c>
    </row>
    <row r="23" spans="2:13" x14ac:dyDescent="0.2">
      <c r="B23" s="98" t="s">
        <v>62</v>
      </c>
      <c r="C23" s="96">
        <v>634440.11</v>
      </c>
      <c r="D23" s="86">
        <v>353553.08</v>
      </c>
      <c r="E23" s="86">
        <v>452999.55</v>
      </c>
      <c r="F23" s="88">
        <v>492853.64</v>
      </c>
      <c r="G23" s="86">
        <v>215185.15</v>
      </c>
      <c r="H23" s="94">
        <v>8299.84</v>
      </c>
      <c r="I23" s="5">
        <v>682290.45</v>
      </c>
      <c r="J23" s="5">
        <v>675771.04</v>
      </c>
      <c r="K23" s="5">
        <v>281985.45</v>
      </c>
      <c r="L23" s="5">
        <v>254701.32</v>
      </c>
      <c r="M23" s="5">
        <v>461568.24</v>
      </c>
    </row>
    <row r="24" spans="2:13" x14ac:dyDescent="0.2">
      <c r="B24" s="97" t="s">
        <v>63</v>
      </c>
      <c r="C24" s="96">
        <v>28513.85</v>
      </c>
      <c r="D24" s="87">
        <v>18566.490000000002</v>
      </c>
      <c r="E24" s="86">
        <v>11946.02</v>
      </c>
      <c r="F24" s="88">
        <v>15893.97</v>
      </c>
      <c r="G24" s="86">
        <v>10028</v>
      </c>
      <c r="H24" s="94">
        <v>65909.69</v>
      </c>
      <c r="I24" s="5"/>
      <c r="J24" s="5"/>
      <c r="K24" s="5">
        <v>9032.8700000000008</v>
      </c>
      <c r="L24" s="5">
        <v>9253.41</v>
      </c>
      <c r="M24" s="5">
        <v>28382.11</v>
      </c>
    </row>
    <row r="25" spans="2:13" x14ac:dyDescent="0.2">
      <c r="B25" s="97" t="s">
        <v>64</v>
      </c>
      <c r="C25" s="96">
        <v>140631.08000000002</v>
      </c>
      <c r="D25" s="87">
        <v>96009.78</v>
      </c>
      <c r="E25" s="86">
        <v>69654.52</v>
      </c>
      <c r="F25" s="88">
        <v>69699.34</v>
      </c>
      <c r="G25" s="86">
        <v>158203.03</v>
      </c>
      <c r="H25" s="94">
        <v>27307.809999999994</v>
      </c>
      <c r="I25" s="5">
        <v>303749.29000000004</v>
      </c>
      <c r="J25" s="5">
        <v>309655.31999999995</v>
      </c>
      <c r="K25" s="5">
        <v>63041.59</v>
      </c>
      <c r="L25" s="5">
        <v>64308.21</v>
      </c>
      <c r="M25" s="5">
        <v>161078.04</v>
      </c>
    </row>
    <row r="26" spans="2:13" x14ac:dyDescent="0.2">
      <c r="B26" s="97" t="s">
        <v>65</v>
      </c>
      <c r="C26" s="96">
        <v>73101.890000000014</v>
      </c>
      <c r="D26" s="87">
        <v>24525.97</v>
      </c>
      <c r="E26" s="86">
        <v>13345.84</v>
      </c>
      <c r="F26" s="88">
        <v>17730.02</v>
      </c>
      <c r="G26" s="86">
        <v>37165.230000000003</v>
      </c>
      <c r="H26" s="94"/>
      <c r="I26" s="5">
        <v>12269.67</v>
      </c>
      <c r="J26" s="5">
        <v>13574.470000000001</v>
      </c>
      <c r="K26" s="5">
        <v>0</v>
      </c>
      <c r="L26" s="5">
        <v>0</v>
      </c>
      <c r="M26" s="5">
        <v>0</v>
      </c>
    </row>
    <row r="27" spans="2:13" x14ac:dyDescent="0.2">
      <c r="B27" s="97" t="s">
        <v>66</v>
      </c>
      <c r="C27" s="96"/>
      <c r="D27" s="87"/>
      <c r="E27" s="86"/>
      <c r="F27" s="92"/>
      <c r="G27" s="86"/>
      <c r="H27" s="94">
        <v>176618</v>
      </c>
      <c r="I27" s="5">
        <v>75621.099999999991</v>
      </c>
      <c r="J27" s="5">
        <v>65893.2</v>
      </c>
      <c r="K27" s="5"/>
      <c r="L27" s="5"/>
      <c r="M27" s="5"/>
    </row>
    <row r="28" spans="2:13" x14ac:dyDescent="0.2">
      <c r="B28" s="97" t="s">
        <v>67</v>
      </c>
      <c r="C28" s="96">
        <v>362052.32999999996</v>
      </c>
      <c r="D28" s="87">
        <v>182902</v>
      </c>
      <c r="E28" s="86">
        <v>196115</v>
      </c>
      <c r="F28" s="88">
        <v>294014</v>
      </c>
      <c r="G28" s="86">
        <v>178171</v>
      </c>
      <c r="H28" s="94">
        <v>17236</v>
      </c>
      <c r="I28" s="5">
        <v>8277.3099999999977</v>
      </c>
      <c r="J28" s="5">
        <v>15190.690000000002</v>
      </c>
      <c r="K28" s="5">
        <v>158472</v>
      </c>
      <c r="L28" s="5">
        <v>167636</v>
      </c>
      <c r="M28" s="5">
        <v>169212</v>
      </c>
    </row>
    <row r="29" spans="2:13" x14ac:dyDescent="0.2">
      <c r="B29" s="97" t="s">
        <v>68</v>
      </c>
      <c r="C29" s="96">
        <v>24914.48</v>
      </c>
      <c r="D29" s="87">
        <v>16415</v>
      </c>
      <c r="E29" s="86">
        <v>9569</v>
      </c>
      <c r="F29" s="88">
        <v>9852</v>
      </c>
      <c r="G29" s="86">
        <v>11572</v>
      </c>
      <c r="H29" s="94"/>
      <c r="I29" s="5"/>
      <c r="J29" s="5"/>
      <c r="K29" s="5">
        <v>12849</v>
      </c>
      <c r="L29" s="5">
        <v>17764</v>
      </c>
      <c r="M29" s="5">
        <v>14870</v>
      </c>
    </row>
    <row r="30" spans="2:13" x14ac:dyDescent="0.2">
      <c r="B30" s="97" t="s">
        <v>69</v>
      </c>
      <c r="C30" s="96">
        <v>0</v>
      </c>
      <c r="D30" s="87">
        <v>0</v>
      </c>
      <c r="E30" s="86">
        <v>0</v>
      </c>
      <c r="F30" s="93"/>
      <c r="G30" s="86">
        <v>0</v>
      </c>
      <c r="H30" s="94">
        <v>289371.66000000003</v>
      </c>
      <c r="I30" s="5">
        <v>158472</v>
      </c>
      <c r="J30" s="5">
        <v>167636</v>
      </c>
      <c r="K30" s="5">
        <v>0</v>
      </c>
      <c r="L30" s="5">
        <v>0</v>
      </c>
      <c r="M30" s="5">
        <v>0</v>
      </c>
    </row>
    <row r="31" spans="2:13" x14ac:dyDescent="0.2">
      <c r="B31" s="97" t="s">
        <v>70</v>
      </c>
      <c r="C31" s="96">
        <v>634229.99</v>
      </c>
      <c r="D31" s="87">
        <v>313642.67</v>
      </c>
      <c r="E31" s="86">
        <v>301681.23</v>
      </c>
      <c r="F31" s="88">
        <v>289455</v>
      </c>
      <c r="G31" s="86">
        <v>275419.98</v>
      </c>
      <c r="H31" s="94">
        <v>0</v>
      </c>
      <c r="I31" s="5">
        <v>12849</v>
      </c>
      <c r="J31" s="5">
        <v>17764</v>
      </c>
      <c r="K31" s="5">
        <v>293310</v>
      </c>
      <c r="L31" s="5">
        <v>296910</v>
      </c>
      <c r="M31" s="5">
        <v>314231.64</v>
      </c>
    </row>
    <row r="32" spans="2:13" x14ac:dyDescent="0.2">
      <c r="B32" s="97" t="s">
        <v>71</v>
      </c>
      <c r="C32" s="96">
        <v>0</v>
      </c>
      <c r="D32" s="87"/>
      <c r="E32" s="87">
        <v>0</v>
      </c>
      <c r="F32" s="88">
        <v>0</v>
      </c>
      <c r="G32" s="86"/>
      <c r="H32" s="94">
        <v>173463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2:14" x14ac:dyDescent="0.2">
      <c r="B33" s="97" t="s">
        <v>72</v>
      </c>
      <c r="C33" s="96">
        <v>39007</v>
      </c>
      <c r="D33" s="86">
        <v>0</v>
      </c>
      <c r="E33" s="86">
        <v>139872</v>
      </c>
      <c r="F33" s="93"/>
      <c r="G33" s="86">
        <v>0</v>
      </c>
      <c r="H33" s="94">
        <v>0</v>
      </c>
      <c r="I33" s="5">
        <v>298100</v>
      </c>
      <c r="J33" s="5">
        <v>298471.66000000003</v>
      </c>
      <c r="K33" s="5">
        <v>0</v>
      </c>
      <c r="L33" s="5">
        <v>0</v>
      </c>
      <c r="M33" s="5">
        <v>0</v>
      </c>
    </row>
    <row r="34" spans="2:14" x14ac:dyDescent="0.2">
      <c r="B34" s="97" t="s">
        <v>73</v>
      </c>
      <c r="C34" s="92"/>
      <c r="D34" s="92"/>
      <c r="E34" s="92"/>
      <c r="F34" s="88">
        <v>0</v>
      </c>
      <c r="G34" s="86"/>
      <c r="H34" s="94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2:14" x14ac:dyDescent="0.2">
      <c r="B35" s="97" t="s">
        <v>74</v>
      </c>
      <c r="C35" s="96">
        <v>0</v>
      </c>
      <c r="D35" s="86">
        <v>0</v>
      </c>
      <c r="E35" s="86"/>
      <c r="F35" s="86"/>
      <c r="G35" s="86"/>
      <c r="H35" s="94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2:14" x14ac:dyDescent="0.2">
      <c r="B36" s="97" t="s">
        <v>75</v>
      </c>
      <c r="C36" s="96">
        <v>0</v>
      </c>
      <c r="D36" s="86">
        <v>0</v>
      </c>
      <c r="E36" s="86"/>
      <c r="F36" s="86"/>
      <c r="G36" s="86"/>
      <c r="H36" s="94">
        <v>0</v>
      </c>
      <c r="I36" s="5">
        <v>0</v>
      </c>
      <c r="J36" s="5">
        <v>0</v>
      </c>
      <c r="K36" s="5">
        <v>0</v>
      </c>
      <c r="L36" s="5">
        <v>304500</v>
      </c>
      <c r="M36" s="5">
        <v>0</v>
      </c>
    </row>
    <row r="37" spans="2:14" x14ac:dyDescent="0.2">
      <c r="B37" s="97" t="s">
        <v>76</v>
      </c>
      <c r="C37" s="96">
        <v>0</v>
      </c>
      <c r="D37" s="86">
        <v>0</v>
      </c>
      <c r="E37" s="86"/>
      <c r="F37" s="86"/>
      <c r="G37" s="86"/>
      <c r="H37" s="5"/>
      <c r="I37" s="5">
        <v>0</v>
      </c>
      <c r="J37" s="5">
        <v>0</v>
      </c>
      <c r="K37" s="5">
        <v>0</v>
      </c>
      <c r="L37" s="5">
        <v>0</v>
      </c>
      <c r="M37" s="5">
        <v>82700</v>
      </c>
    </row>
    <row r="38" spans="2:14" x14ac:dyDescent="0.2">
      <c r="B38" s="60"/>
      <c r="C38" s="95"/>
      <c r="D38" s="95"/>
      <c r="E38" s="95"/>
      <c r="F38" s="95"/>
      <c r="G38" s="95"/>
      <c r="H38" s="64"/>
      <c r="I38" s="64"/>
      <c r="J38" s="64"/>
    </row>
    <row r="40" spans="2:14" x14ac:dyDescent="0.2">
      <c r="B40" s="8" t="s">
        <v>121</v>
      </c>
      <c r="C40" s="10">
        <f>+C5-C22</f>
        <v>647987.94999999995</v>
      </c>
      <c r="D40" s="10">
        <f t="shared" ref="D40:M40" si="0">+D5-D22</f>
        <v>-129101.9300000004</v>
      </c>
      <c r="E40" s="10">
        <f t="shared" si="0"/>
        <v>-264898.27</v>
      </c>
      <c r="F40" s="10">
        <f t="shared" si="0"/>
        <v>48652.45000000007</v>
      </c>
      <c r="G40" s="10">
        <f t="shared" si="0"/>
        <v>293755.41000000003</v>
      </c>
      <c r="H40" s="10">
        <f t="shared" si="0"/>
        <v>316937.62</v>
      </c>
      <c r="I40" s="10">
        <f t="shared" si="0"/>
        <v>120</v>
      </c>
      <c r="J40" s="10">
        <f t="shared" si="0"/>
        <v>0</v>
      </c>
      <c r="K40" s="10">
        <f t="shared" si="0"/>
        <v>227035.12</v>
      </c>
      <c r="L40" s="10">
        <f t="shared" si="0"/>
        <v>51074.959999999963</v>
      </c>
      <c r="M40" s="10">
        <f t="shared" si="0"/>
        <v>230334.05000000005</v>
      </c>
    </row>
    <row r="41" spans="2:14" x14ac:dyDescent="0.2">
      <c r="G41" s="145">
        <v>2018</v>
      </c>
      <c r="H41" s="145"/>
    </row>
    <row r="42" spans="2:14" x14ac:dyDescent="0.2">
      <c r="C42" s="5" t="s">
        <v>0</v>
      </c>
      <c r="D42" s="5" t="s">
        <v>1</v>
      </c>
      <c r="E42" s="5" t="s">
        <v>2</v>
      </c>
      <c r="F42" s="5" t="s">
        <v>3</v>
      </c>
      <c r="G42" s="5" t="s">
        <v>4</v>
      </c>
      <c r="H42" s="5" t="s">
        <v>5</v>
      </c>
      <c r="I42" s="5" t="s">
        <v>43</v>
      </c>
      <c r="J42" s="5" t="s">
        <v>92</v>
      </c>
      <c r="K42" s="5" t="s">
        <v>99</v>
      </c>
      <c r="L42" s="5" t="s">
        <v>100</v>
      </c>
      <c r="M42" s="5" t="s">
        <v>101</v>
      </c>
      <c r="N42" s="5" t="s">
        <v>102</v>
      </c>
    </row>
    <row r="43" spans="2:14" x14ac:dyDescent="0.2">
      <c r="B43" s="8" t="s">
        <v>46</v>
      </c>
      <c r="C43" s="5">
        <v>1289832.06</v>
      </c>
      <c r="D43" s="5">
        <v>843620.03</v>
      </c>
      <c r="E43" s="5">
        <v>805484.03</v>
      </c>
      <c r="F43" s="5">
        <v>956120</v>
      </c>
      <c r="G43" s="5">
        <v>884310.03</v>
      </c>
      <c r="H43" s="5">
        <v>883869.09</v>
      </c>
      <c r="I43" s="5">
        <v>909730.06</v>
      </c>
      <c r="J43" s="5">
        <v>993813</v>
      </c>
      <c r="K43" s="5">
        <v>921493</v>
      </c>
      <c r="L43" s="5">
        <v>735684.63</v>
      </c>
      <c r="M43" s="5">
        <v>909261.03</v>
      </c>
      <c r="N43" s="5">
        <v>811560.59</v>
      </c>
    </row>
    <row r="44" spans="2:14" x14ac:dyDescent="0.2">
      <c r="B44" s="8" t="s">
        <v>47</v>
      </c>
      <c r="C44" s="5">
        <v>361955</v>
      </c>
      <c r="D44" s="5">
        <v>539176</v>
      </c>
      <c r="E44" s="5">
        <v>657258</v>
      </c>
      <c r="F44" s="5">
        <v>782533</v>
      </c>
      <c r="G44" s="5">
        <v>705754</v>
      </c>
      <c r="H44" s="5">
        <v>743848</v>
      </c>
      <c r="I44" s="5">
        <v>736993</v>
      </c>
      <c r="J44" s="5">
        <v>761389</v>
      </c>
      <c r="K44" s="5">
        <v>729286</v>
      </c>
      <c r="L44" s="5">
        <v>596774</v>
      </c>
      <c r="M44" s="5">
        <v>764429</v>
      </c>
      <c r="N44" s="5">
        <v>646843</v>
      </c>
    </row>
    <row r="45" spans="2:14" x14ac:dyDescent="0.2">
      <c r="B45" s="8" t="s">
        <v>48</v>
      </c>
      <c r="C45" s="5">
        <v>18566</v>
      </c>
      <c r="D45" s="5">
        <v>20880</v>
      </c>
      <c r="E45" s="5">
        <v>23781</v>
      </c>
      <c r="F45" s="5">
        <v>25063</v>
      </c>
      <c r="G45" s="5">
        <v>22651</v>
      </c>
      <c r="H45" s="5">
        <v>24308</v>
      </c>
      <c r="I45" s="5">
        <v>24017</v>
      </c>
      <c r="J45" s="5">
        <v>24726</v>
      </c>
      <c r="K45" s="5">
        <v>24215</v>
      </c>
      <c r="L45" s="5">
        <v>20817</v>
      </c>
      <c r="M45" s="5">
        <v>25046</v>
      </c>
      <c r="N45" s="5">
        <v>23642</v>
      </c>
    </row>
    <row r="46" spans="2:14" x14ac:dyDescent="0.2">
      <c r="B46" s="8" t="s">
        <v>49</v>
      </c>
      <c r="C46" s="5">
        <v>35109</v>
      </c>
      <c r="D46" s="5">
        <v>41297</v>
      </c>
      <c r="E46" s="5">
        <v>48785</v>
      </c>
      <c r="F46" s="5">
        <v>51544</v>
      </c>
      <c r="G46" s="5">
        <v>46561</v>
      </c>
      <c r="H46" s="5">
        <v>50003</v>
      </c>
      <c r="I46" s="5">
        <v>49754</v>
      </c>
      <c r="J46" s="5">
        <v>51150</v>
      </c>
      <c r="K46" s="5">
        <v>50137</v>
      </c>
      <c r="L46" s="5">
        <v>43237</v>
      </c>
      <c r="M46" s="5">
        <v>49446</v>
      </c>
      <c r="N46" s="5">
        <v>45804</v>
      </c>
    </row>
    <row r="47" spans="2:14" x14ac:dyDescent="0.2">
      <c r="B47" s="8" t="s">
        <v>50</v>
      </c>
      <c r="C47" s="5">
        <v>60</v>
      </c>
      <c r="D47" s="5">
        <v>1080</v>
      </c>
      <c r="E47" s="5">
        <v>2550</v>
      </c>
      <c r="F47" s="5">
        <v>3420</v>
      </c>
      <c r="G47" s="5">
        <v>3450</v>
      </c>
      <c r="H47" s="5">
        <v>0</v>
      </c>
      <c r="I47" s="5">
        <v>210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x14ac:dyDescent="0.2">
      <c r="B48" s="8" t="s">
        <v>51</v>
      </c>
      <c r="C48" s="5">
        <v>10553</v>
      </c>
      <c r="D48" s="5">
        <v>13267</v>
      </c>
      <c r="E48" s="5">
        <v>7790</v>
      </c>
      <c r="F48" s="5">
        <v>13821</v>
      </c>
      <c r="G48" s="5">
        <v>17089</v>
      </c>
      <c r="H48" s="5">
        <v>6029</v>
      </c>
      <c r="I48" s="5">
        <v>17089</v>
      </c>
      <c r="J48" s="5">
        <v>20031</v>
      </c>
      <c r="K48" s="5">
        <v>4270</v>
      </c>
      <c r="L48" s="5">
        <v>13045</v>
      </c>
      <c r="M48" s="5">
        <v>11854</v>
      </c>
      <c r="N48" s="5">
        <v>7405</v>
      </c>
    </row>
    <row r="49" spans="2:14" x14ac:dyDescent="0.2">
      <c r="B49" s="8" t="s">
        <v>52</v>
      </c>
      <c r="C49" s="5">
        <v>2604</v>
      </c>
      <c r="D49" s="5">
        <v>2566</v>
      </c>
      <c r="E49" s="5">
        <v>2009</v>
      </c>
      <c r="F49" s="5">
        <v>287</v>
      </c>
      <c r="G49" s="5">
        <v>2577</v>
      </c>
      <c r="H49" s="5">
        <v>-1154</v>
      </c>
      <c r="I49" s="5">
        <v>2329</v>
      </c>
      <c r="J49" s="5">
        <v>4574</v>
      </c>
      <c r="K49" s="5">
        <v>5012</v>
      </c>
      <c r="L49" s="5">
        <v>86</v>
      </c>
      <c r="M49" s="5">
        <v>3731</v>
      </c>
      <c r="N49" s="5">
        <v>3016</v>
      </c>
    </row>
    <row r="50" spans="2:14" x14ac:dyDescent="0.2">
      <c r="B50" s="8" t="s">
        <v>53</v>
      </c>
      <c r="C50" s="5">
        <v>2348</v>
      </c>
      <c r="D50" s="5">
        <v>320</v>
      </c>
      <c r="E50" s="5">
        <v>757</v>
      </c>
      <c r="F50" s="5">
        <v>660</v>
      </c>
      <c r="G50" s="5">
        <v>191</v>
      </c>
      <c r="H50" s="5">
        <v>710</v>
      </c>
      <c r="I50" s="5">
        <v>715.03</v>
      </c>
      <c r="J50" s="5">
        <v>348</v>
      </c>
      <c r="K50" s="5">
        <v>870</v>
      </c>
      <c r="L50" s="5">
        <v>1092</v>
      </c>
      <c r="M50" s="5">
        <v>306</v>
      </c>
      <c r="N50" s="5">
        <v>300</v>
      </c>
    </row>
    <row r="51" spans="2:14" x14ac:dyDescent="0.2">
      <c r="B51" s="8" t="s">
        <v>54</v>
      </c>
      <c r="C51" s="5">
        <v>832024</v>
      </c>
      <c r="D51" s="5">
        <v>167742</v>
      </c>
      <c r="E51" s="5">
        <v>26331</v>
      </c>
      <c r="F51" s="5">
        <v>5579</v>
      </c>
      <c r="G51" s="5">
        <v>4210</v>
      </c>
      <c r="H51" s="5">
        <v>721</v>
      </c>
      <c r="I51" s="5">
        <v>2174</v>
      </c>
      <c r="J51" s="5">
        <v>1681</v>
      </c>
      <c r="K51" s="5">
        <v>758</v>
      </c>
      <c r="L51" s="5">
        <v>508</v>
      </c>
      <c r="M51" s="5">
        <v>952</v>
      </c>
      <c r="N51" s="5">
        <v>1140</v>
      </c>
    </row>
    <row r="52" spans="2:14" x14ac:dyDescent="0.2">
      <c r="B52" s="8" t="s">
        <v>55</v>
      </c>
      <c r="C52" s="5">
        <v>24011</v>
      </c>
      <c r="D52" s="5">
        <v>45029</v>
      </c>
      <c r="E52" s="5">
        <v>24802</v>
      </c>
      <c r="F52" s="5">
        <v>52776</v>
      </c>
      <c r="G52" s="5">
        <v>53764</v>
      </c>
      <c r="H52" s="5">
        <v>37004</v>
      </c>
      <c r="I52" s="5">
        <v>51937</v>
      </c>
      <c r="J52" s="5">
        <v>79177</v>
      </c>
      <c r="K52" s="5">
        <v>10085</v>
      </c>
      <c r="L52" s="5">
        <v>31429</v>
      </c>
      <c r="M52" s="5">
        <v>24694</v>
      </c>
      <c r="N52" s="5">
        <v>19414</v>
      </c>
    </row>
    <row r="53" spans="2:14" x14ac:dyDescent="0.2">
      <c r="B53" s="8" t="s">
        <v>56</v>
      </c>
      <c r="C53" s="5">
        <v>6398.06</v>
      </c>
      <c r="D53" s="5">
        <v>11823.03</v>
      </c>
      <c r="E53" s="5">
        <v>11421.03</v>
      </c>
      <c r="F53" s="5">
        <v>19537</v>
      </c>
      <c r="G53" s="5">
        <v>28063.03</v>
      </c>
      <c r="H53" s="5">
        <v>22400.09</v>
      </c>
      <c r="I53" s="5"/>
      <c r="J53" s="5"/>
      <c r="K53" s="5"/>
      <c r="L53" s="5"/>
      <c r="M53" s="5"/>
      <c r="N53" s="5"/>
    </row>
    <row r="54" spans="2:14" x14ac:dyDescent="0.2">
      <c r="B54" s="8" t="s">
        <v>57</v>
      </c>
      <c r="C54" s="5">
        <v>900</v>
      </c>
      <c r="D54" s="5">
        <v>450</v>
      </c>
      <c r="E54" s="5"/>
      <c r="F54" s="5">
        <v>900</v>
      </c>
      <c r="G54" s="5">
        <v>0</v>
      </c>
      <c r="H54" s="5"/>
      <c r="I54" s="5">
        <v>1800</v>
      </c>
      <c r="J54" s="5"/>
      <c r="K54" s="5">
        <v>7092</v>
      </c>
      <c r="L54" s="5">
        <v>3465</v>
      </c>
      <c r="M54" s="5">
        <v>4500</v>
      </c>
      <c r="N54" s="5">
        <v>2745</v>
      </c>
    </row>
    <row r="55" spans="2:14" x14ac:dyDescent="0.2">
      <c r="B55" s="8" t="s">
        <v>58</v>
      </c>
      <c r="C55" s="5"/>
      <c r="D55" s="5"/>
      <c r="E55" s="5"/>
      <c r="F55" s="5"/>
      <c r="G55" s="5"/>
      <c r="H55" s="5"/>
      <c r="I55" s="5">
        <v>0</v>
      </c>
      <c r="J55" s="5">
        <v>20837</v>
      </c>
      <c r="K55" s="5">
        <v>73058</v>
      </c>
      <c r="L55" s="5">
        <v>0</v>
      </c>
      <c r="M55" s="5">
        <v>0</v>
      </c>
      <c r="N55" s="5">
        <v>237494</v>
      </c>
    </row>
    <row r="56" spans="2:14" x14ac:dyDescent="0.2">
      <c r="B56" s="8" t="s">
        <v>59</v>
      </c>
      <c r="C56" s="5"/>
      <c r="D56" s="5"/>
      <c r="E56" s="5"/>
      <c r="F56" s="5"/>
      <c r="G56" s="5"/>
      <c r="H56" s="5"/>
      <c r="I56" s="5">
        <v>0</v>
      </c>
      <c r="J56" s="5"/>
      <c r="K56" s="5"/>
      <c r="L56" s="5">
        <v>0</v>
      </c>
      <c r="M56" s="5">
        <v>15647</v>
      </c>
      <c r="N56" s="5">
        <v>44669</v>
      </c>
    </row>
    <row r="57" spans="2:14" x14ac:dyDescent="0.2">
      <c r="B57" s="8" t="s">
        <v>60</v>
      </c>
      <c r="C57" s="5"/>
      <c r="D57" s="5"/>
      <c r="E57" s="5"/>
      <c r="F57" s="5"/>
      <c r="G57" s="5"/>
      <c r="H57" s="5"/>
      <c r="I57" s="5">
        <v>0</v>
      </c>
      <c r="J57" s="5"/>
      <c r="K57" s="5"/>
      <c r="L57" s="5"/>
      <c r="M57" s="5"/>
      <c r="N57" s="5"/>
    </row>
    <row r="61" spans="2:14" x14ac:dyDescent="0.2">
      <c r="B61" s="8" t="s">
        <v>61</v>
      </c>
      <c r="C61" s="5">
        <v>723846.62</v>
      </c>
      <c r="D61" s="5">
        <v>942361.59999999998</v>
      </c>
      <c r="E61" s="5">
        <v>1217040.8799999999</v>
      </c>
      <c r="F61" s="5">
        <v>779931.17</v>
      </c>
      <c r="G61" s="5">
        <v>995667.96</v>
      </c>
      <c r="H61" s="5">
        <v>765476.3</v>
      </c>
      <c r="I61" s="8">
        <v>830023.28</v>
      </c>
      <c r="J61" s="8">
        <v>1098560.97</v>
      </c>
      <c r="K61" s="8">
        <v>588835.41</v>
      </c>
      <c r="L61" s="5">
        <v>343372.7</v>
      </c>
      <c r="M61" s="5">
        <v>414971.51</v>
      </c>
      <c r="N61" s="5">
        <v>626332.49</v>
      </c>
    </row>
    <row r="62" spans="2:14" x14ac:dyDescent="0.2">
      <c r="B62" s="8" t="s">
        <v>62</v>
      </c>
      <c r="C62" s="5">
        <v>315587.48</v>
      </c>
      <c r="D62" s="5">
        <v>315194.27</v>
      </c>
      <c r="E62" s="5">
        <v>205780.68</v>
      </c>
      <c r="F62" s="5">
        <v>162403.23000000001</v>
      </c>
      <c r="G62" s="5">
        <v>291124.17</v>
      </c>
      <c r="H62" s="5">
        <v>249184.44</v>
      </c>
      <c r="I62" s="5">
        <v>264496.69</v>
      </c>
      <c r="J62" s="5">
        <v>297611.71000000002</v>
      </c>
      <c r="K62" s="5">
        <v>173554.05</v>
      </c>
      <c r="L62" s="5">
        <v>31885.920000000002</v>
      </c>
      <c r="M62" s="5">
        <v>28816.3</v>
      </c>
      <c r="N62" s="5">
        <v>71088.2</v>
      </c>
    </row>
    <row r="63" spans="2:14" x14ac:dyDescent="0.2">
      <c r="B63" s="8" t="s">
        <v>63</v>
      </c>
      <c r="C63" s="5">
        <v>27149.99</v>
      </c>
      <c r="D63" s="5">
        <v>28123.11</v>
      </c>
      <c r="E63" s="5">
        <v>31649</v>
      </c>
      <c r="F63" s="5">
        <v>24750</v>
      </c>
      <c r="G63" s="5">
        <v>33086.559999999998</v>
      </c>
      <c r="H63" s="5">
        <v>26399.98</v>
      </c>
      <c r="I63" s="5">
        <v>42335.15</v>
      </c>
      <c r="J63" s="5">
        <v>35241.97</v>
      </c>
      <c r="K63" s="5">
        <v>12375</v>
      </c>
      <c r="L63" s="5">
        <v>70505.16</v>
      </c>
      <c r="M63" s="5">
        <v>88897.67</v>
      </c>
      <c r="N63" s="5">
        <v>159690.68</v>
      </c>
    </row>
    <row r="64" spans="2:14" x14ac:dyDescent="0.2">
      <c r="B64" s="8" t="s">
        <v>64</v>
      </c>
      <c r="C64" s="5">
        <v>75794.880000000005</v>
      </c>
      <c r="D64" s="5">
        <v>66344.86</v>
      </c>
      <c r="E64" s="5">
        <v>104701.19</v>
      </c>
      <c r="F64" s="5">
        <v>49806</v>
      </c>
      <c r="G64" s="5">
        <v>89614.51999999999</v>
      </c>
      <c r="H64" s="5">
        <v>66138.52</v>
      </c>
      <c r="I64" s="5">
        <v>103904.9</v>
      </c>
      <c r="J64" s="5">
        <v>75617.8</v>
      </c>
      <c r="K64" s="5">
        <v>25014</v>
      </c>
      <c r="L64" s="5">
        <v>21008.639999999999</v>
      </c>
      <c r="M64" s="5">
        <v>9216</v>
      </c>
      <c r="N64" s="5">
        <v>8252.869999999999</v>
      </c>
    </row>
    <row r="65" spans="2:14" x14ac:dyDescent="0.2">
      <c r="B65" s="8" t="s">
        <v>65</v>
      </c>
      <c r="C65" s="5">
        <v>55466.559999999998</v>
      </c>
      <c r="D65" s="5">
        <v>40820.129999999997</v>
      </c>
      <c r="E65" s="5">
        <v>34148.629999999997</v>
      </c>
      <c r="F65" s="5">
        <v>3546</v>
      </c>
      <c r="G65" s="5">
        <v>14503.73</v>
      </c>
      <c r="H65" s="5">
        <v>22876.82</v>
      </c>
      <c r="I65" s="5">
        <v>25303.83</v>
      </c>
      <c r="J65" s="5">
        <v>22218.28</v>
      </c>
      <c r="K65" s="5">
        <v>8686</v>
      </c>
      <c r="L65" s="5"/>
      <c r="M65" s="5"/>
      <c r="N65" s="5"/>
    </row>
    <row r="66" spans="2:14" x14ac:dyDescent="0.2">
      <c r="B66" s="8" t="s">
        <v>66</v>
      </c>
      <c r="C66" s="5"/>
      <c r="D66" s="5"/>
      <c r="E66" s="5"/>
      <c r="F66" s="5"/>
      <c r="G66" s="5"/>
      <c r="H66" s="5"/>
      <c r="I66" s="5"/>
      <c r="J66" s="5"/>
      <c r="K66" s="5"/>
      <c r="L66" s="5">
        <v>250991</v>
      </c>
      <c r="M66" s="5">
        <v>297258</v>
      </c>
      <c r="N66" s="5">
        <v>273438</v>
      </c>
    </row>
    <row r="67" spans="2:14" x14ac:dyDescent="0.2">
      <c r="B67" s="8" t="s">
        <v>67</v>
      </c>
      <c r="C67" s="5">
        <v>206850</v>
      </c>
      <c r="D67" s="5">
        <v>144758</v>
      </c>
      <c r="E67" s="5">
        <v>66505</v>
      </c>
      <c r="F67" s="5">
        <v>65433</v>
      </c>
      <c r="G67" s="5">
        <v>149424</v>
      </c>
      <c r="H67" s="5">
        <v>135060</v>
      </c>
      <c r="I67" s="5">
        <v>143242</v>
      </c>
      <c r="J67" s="5">
        <v>192667</v>
      </c>
      <c r="K67" s="5">
        <v>124897</v>
      </c>
      <c r="L67" s="5">
        <v>21136</v>
      </c>
      <c r="M67" s="5">
        <v>27622</v>
      </c>
      <c r="N67" s="5">
        <v>18717</v>
      </c>
    </row>
    <row r="68" spans="2:14" x14ac:dyDescent="0.2">
      <c r="B68" s="8" t="s">
        <v>68</v>
      </c>
      <c r="C68" s="5">
        <v>20669</v>
      </c>
      <c r="D68" s="5">
        <v>9633</v>
      </c>
      <c r="E68" s="5">
        <v>6738</v>
      </c>
      <c r="F68" s="5"/>
      <c r="G68" s="5">
        <v>27999.07</v>
      </c>
      <c r="H68" s="5">
        <v>9229</v>
      </c>
      <c r="I68" s="5">
        <v>27946</v>
      </c>
      <c r="J68" s="5">
        <v>19559</v>
      </c>
      <c r="K68" s="5" t="s">
        <v>122</v>
      </c>
      <c r="L68" s="5">
        <v>0</v>
      </c>
      <c r="M68" s="5">
        <v>0</v>
      </c>
      <c r="N68" s="5">
        <v>0</v>
      </c>
    </row>
    <row r="69" spans="2:14" x14ac:dyDescent="0.2">
      <c r="B69" s="8" t="s">
        <v>69</v>
      </c>
      <c r="C69" s="5"/>
      <c r="D69" s="5"/>
      <c r="E69" s="5"/>
      <c r="F69" s="5"/>
      <c r="G69" s="5">
        <v>0</v>
      </c>
      <c r="H69" s="5"/>
      <c r="I69" s="5">
        <v>0</v>
      </c>
      <c r="J69" s="5"/>
      <c r="K69" s="5"/>
      <c r="L69" s="5">
        <v>353438</v>
      </c>
      <c r="M69" s="5">
        <v>357427</v>
      </c>
      <c r="N69" s="5">
        <v>926702.54</v>
      </c>
    </row>
    <row r="70" spans="2:14" x14ac:dyDescent="0.2">
      <c r="B70" s="8" t="s">
        <v>70</v>
      </c>
      <c r="C70" s="5">
        <v>299945</v>
      </c>
      <c r="D70" s="5">
        <v>365687</v>
      </c>
      <c r="E70" s="5">
        <v>375311</v>
      </c>
      <c r="F70" s="5">
        <v>329249</v>
      </c>
      <c r="G70" s="5">
        <v>327467.40000000002</v>
      </c>
      <c r="H70" s="5">
        <v>341683.79000000004</v>
      </c>
      <c r="I70" s="5">
        <v>334724</v>
      </c>
      <c r="J70" s="5">
        <v>339568</v>
      </c>
      <c r="K70" s="5">
        <v>170294</v>
      </c>
      <c r="L70" s="5">
        <v>0</v>
      </c>
      <c r="M70" s="5">
        <v>0</v>
      </c>
      <c r="N70" s="5">
        <v>0</v>
      </c>
    </row>
    <row r="71" spans="2:14" x14ac:dyDescent="0.2">
      <c r="B71" s="8" t="s">
        <v>71</v>
      </c>
      <c r="C71" s="5"/>
      <c r="D71" s="5"/>
      <c r="E71" s="5"/>
      <c r="F71" s="5"/>
      <c r="G71" s="5">
        <v>0</v>
      </c>
      <c r="H71" s="5">
        <v>0</v>
      </c>
      <c r="I71" s="5">
        <v>0</v>
      </c>
      <c r="J71" s="5"/>
      <c r="K71" s="5"/>
      <c r="L71" s="5">
        <v>0</v>
      </c>
      <c r="M71" s="5">
        <v>0</v>
      </c>
      <c r="N71" s="5">
        <v>0</v>
      </c>
    </row>
    <row r="72" spans="2:14" x14ac:dyDescent="0.2">
      <c r="B72" s="8" t="s">
        <v>72</v>
      </c>
      <c r="C72" s="5"/>
      <c r="D72" s="5"/>
      <c r="E72" s="5"/>
      <c r="F72" s="5"/>
      <c r="G72" s="5">
        <v>0</v>
      </c>
      <c r="H72" s="5">
        <v>0</v>
      </c>
      <c r="I72" s="5">
        <v>0</v>
      </c>
      <c r="J72" s="5"/>
      <c r="K72" s="5"/>
      <c r="L72" s="5">
        <v>0</v>
      </c>
      <c r="M72" s="5">
        <v>0</v>
      </c>
      <c r="N72" s="5">
        <v>0</v>
      </c>
    </row>
    <row r="73" spans="2:14" x14ac:dyDescent="0.2">
      <c r="B73" s="8" t="s">
        <v>73</v>
      </c>
      <c r="C73" s="5"/>
      <c r="D73" s="5"/>
      <c r="E73" s="5"/>
      <c r="F73" s="5"/>
      <c r="G73" s="5">
        <v>0</v>
      </c>
      <c r="H73" s="5">
        <v>0</v>
      </c>
      <c r="I73" s="5">
        <v>0</v>
      </c>
      <c r="J73" s="5"/>
      <c r="K73" s="5"/>
      <c r="L73" s="5">
        <v>0</v>
      </c>
      <c r="M73" s="5">
        <v>0</v>
      </c>
      <c r="N73" s="5">
        <v>0</v>
      </c>
    </row>
    <row r="74" spans="2:14" x14ac:dyDescent="0.2">
      <c r="B74" s="8" t="s">
        <v>74</v>
      </c>
      <c r="C74" s="5"/>
      <c r="D74" s="5"/>
      <c r="E74" s="5"/>
      <c r="F74" s="5"/>
      <c r="G74" s="5">
        <v>0</v>
      </c>
      <c r="H74" s="5">
        <v>0</v>
      </c>
      <c r="I74" s="5">
        <v>0</v>
      </c>
      <c r="J74" s="5"/>
      <c r="K74" s="5"/>
      <c r="L74" s="5">
        <v>0</v>
      </c>
      <c r="M74" s="5">
        <v>0</v>
      </c>
      <c r="N74" s="5">
        <v>0</v>
      </c>
    </row>
    <row r="75" spans="2:14" x14ac:dyDescent="0.2">
      <c r="B75" s="8" t="s">
        <v>75</v>
      </c>
      <c r="C75" s="5"/>
      <c r="D75" s="5"/>
      <c r="E75" s="5">
        <v>91350</v>
      </c>
      <c r="F75" s="5"/>
      <c r="G75" s="5">
        <v>0</v>
      </c>
      <c r="H75" s="5">
        <v>0</v>
      </c>
      <c r="I75" s="5">
        <v>0</v>
      </c>
      <c r="J75" s="5"/>
      <c r="K75" s="5"/>
      <c r="L75" s="5">
        <v>0</v>
      </c>
      <c r="M75" s="5">
        <v>0</v>
      </c>
      <c r="N75" s="5">
        <v>34838.589999999997</v>
      </c>
    </row>
    <row r="76" spans="2:14" x14ac:dyDescent="0.2">
      <c r="B76" s="8" t="s">
        <v>76</v>
      </c>
      <c r="C76" s="5"/>
      <c r="D76" s="5"/>
      <c r="E76" s="5"/>
      <c r="F76" s="5"/>
      <c r="G76" s="5">
        <v>0</v>
      </c>
      <c r="H76" s="5">
        <v>0</v>
      </c>
      <c r="I76" s="5">
        <v>0</v>
      </c>
      <c r="J76" s="5"/>
      <c r="K76" s="5"/>
      <c r="L76" s="5"/>
      <c r="M76" s="5"/>
      <c r="N76" s="5"/>
    </row>
    <row r="77" spans="2:14" x14ac:dyDescent="0.2">
      <c r="G77" s="8">
        <v>933219.45</v>
      </c>
      <c r="H77" s="8">
        <v>850572.55</v>
      </c>
      <c r="I77" s="8">
        <v>941952.57000000007</v>
      </c>
      <c r="J77" s="8">
        <v>982483.76</v>
      </c>
      <c r="K77" s="8">
        <v>514820.05</v>
      </c>
    </row>
    <row r="79" spans="2:14" x14ac:dyDescent="0.2">
      <c r="B79" s="8" t="s">
        <v>120</v>
      </c>
      <c r="C79" s="8">
        <f>+C43-C61</f>
        <v>565985.44000000006</v>
      </c>
      <c r="D79" s="8">
        <f t="shared" ref="D79:N79" si="1">+D43-D61</f>
        <v>-98741.569999999949</v>
      </c>
      <c r="E79" s="8">
        <f t="shared" si="1"/>
        <v>-411556.84999999986</v>
      </c>
      <c r="F79" s="8">
        <f t="shared" si="1"/>
        <v>176188.82999999996</v>
      </c>
      <c r="G79" s="8">
        <f t="shared" si="1"/>
        <v>-111357.92999999993</v>
      </c>
      <c r="H79" s="8">
        <f t="shared" si="1"/>
        <v>118392.78999999992</v>
      </c>
      <c r="I79" s="8">
        <f t="shared" si="1"/>
        <v>79706.780000000028</v>
      </c>
      <c r="J79" s="8">
        <f t="shared" si="1"/>
        <v>-104747.96999999997</v>
      </c>
      <c r="K79" s="8">
        <f t="shared" si="1"/>
        <v>332657.58999999997</v>
      </c>
      <c r="L79" s="8">
        <f t="shared" si="1"/>
        <v>392311.93</v>
      </c>
      <c r="M79" s="8">
        <f t="shared" si="1"/>
        <v>494289.52</v>
      </c>
      <c r="N79" s="8">
        <f t="shared" si="1"/>
        <v>185228.09999999998</v>
      </c>
    </row>
    <row r="81" spans="2:23" x14ac:dyDescent="0.2">
      <c r="H81" s="145">
        <v>2019</v>
      </c>
      <c r="I81" s="145"/>
    </row>
    <row r="82" spans="2:23" x14ac:dyDescent="0.2">
      <c r="B82" s="8" t="s">
        <v>46</v>
      </c>
      <c r="C82" s="4">
        <v>1502164</v>
      </c>
      <c r="D82" s="4">
        <v>966150</v>
      </c>
      <c r="E82" s="4">
        <v>1002847</v>
      </c>
      <c r="F82" s="4">
        <v>1023994</v>
      </c>
      <c r="G82" s="4">
        <v>1060032</v>
      </c>
      <c r="H82" s="4">
        <v>1022882</v>
      </c>
      <c r="I82" s="4">
        <v>1015842</v>
      </c>
      <c r="J82" s="4">
        <v>1179774.06</v>
      </c>
      <c r="K82" s="4">
        <v>1076597</v>
      </c>
      <c r="L82" s="4">
        <v>1080908</v>
      </c>
      <c r="M82" s="5"/>
      <c r="N82" s="5"/>
    </row>
    <row r="83" spans="2:23" x14ac:dyDescent="0.2">
      <c r="B83" s="8" t="s">
        <v>47</v>
      </c>
      <c r="C83" s="4">
        <v>388029</v>
      </c>
      <c r="D83" s="4">
        <v>627779</v>
      </c>
      <c r="E83" s="4">
        <v>813911</v>
      </c>
      <c r="F83" s="4">
        <v>825911</v>
      </c>
      <c r="G83" s="4">
        <v>868917</v>
      </c>
      <c r="H83" s="4">
        <v>869504</v>
      </c>
      <c r="I83" s="4">
        <v>847582</v>
      </c>
      <c r="J83" s="4">
        <v>807729</v>
      </c>
      <c r="K83" s="4">
        <v>796694</v>
      </c>
      <c r="L83" s="4">
        <v>840378</v>
      </c>
      <c r="M83" s="5"/>
      <c r="N83" s="5"/>
    </row>
    <row r="84" spans="2:23" x14ac:dyDescent="0.2">
      <c r="B84" s="8" t="s">
        <v>48</v>
      </c>
      <c r="C84" s="4">
        <v>22927</v>
      </c>
      <c r="D84" s="4">
        <v>28994</v>
      </c>
      <c r="E84" s="4">
        <v>28680</v>
      </c>
      <c r="F84" s="4">
        <v>31239</v>
      </c>
      <c r="G84" s="4">
        <v>27278</v>
      </c>
      <c r="H84" s="4">
        <v>28556</v>
      </c>
      <c r="I84" s="4">
        <v>28025</v>
      </c>
      <c r="J84" s="4">
        <v>26269</v>
      </c>
      <c r="K84" s="4">
        <v>25322</v>
      </c>
      <c r="L84" s="4">
        <v>27305</v>
      </c>
      <c r="M84" s="5"/>
      <c r="N84" s="5"/>
    </row>
    <row r="85" spans="2:23" x14ac:dyDescent="0.2">
      <c r="B85" s="8" t="s">
        <v>49</v>
      </c>
      <c r="C85" s="4">
        <v>44544</v>
      </c>
      <c r="D85" s="4">
        <v>58185</v>
      </c>
      <c r="E85" s="4">
        <v>57704</v>
      </c>
      <c r="F85" s="4">
        <v>62721</v>
      </c>
      <c r="G85" s="4">
        <v>54764</v>
      </c>
      <c r="H85" s="4">
        <v>56985</v>
      </c>
      <c r="I85" s="4">
        <v>56109</v>
      </c>
      <c r="J85" s="4">
        <v>52661</v>
      </c>
      <c r="K85" s="4">
        <v>50782</v>
      </c>
      <c r="L85" s="4">
        <v>54606</v>
      </c>
      <c r="M85" s="5"/>
      <c r="N85" s="5"/>
    </row>
    <row r="86" spans="2:23" x14ac:dyDescent="0.2">
      <c r="B86" s="8" t="s">
        <v>50</v>
      </c>
      <c r="C86" s="4">
        <v>0</v>
      </c>
      <c r="D86" s="4">
        <v>3906</v>
      </c>
      <c r="E86" s="4">
        <v>4515</v>
      </c>
      <c r="F86" s="4">
        <v>0</v>
      </c>
      <c r="G86" s="4">
        <v>2097</v>
      </c>
      <c r="H86" s="4">
        <v>120</v>
      </c>
      <c r="I86" s="4">
        <v>3558</v>
      </c>
      <c r="J86" s="4">
        <v>1629</v>
      </c>
      <c r="K86" s="4">
        <v>1899</v>
      </c>
      <c r="L86" s="4">
        <v>244</v>
      </c>
      <c r="M86" s="5"/>
      <c r="N86" s="5"/>
    </row>
    <row r="87" spans="2:23" x14ac:dyDescent="0.2">
      <c r="B87" s="8" t="s">
        <v>51</v>
      </c>
      <c r="C87" s="4">
        <v>13021</v>
      </c>
      <c r="D87" s="4">
        <v>15232</v>
      </c>
      <c r="E87" s="4">
        <v>7650</v>
      </c>
      <c r="F87" s="4">
        <v>10572</v>
      </c>
      <c r="G87" s="4">
        <v>15966</v>
      </c>
      <c r="H87" s="4">
        <v>6715</v>
      </c>
      <c r="I87" s="4">
        <v>8001</v>
      </c>
      <c r="J87" s="4">
        <v>15189</v>
      </c>
      <c r="K87" s="4">
        <v>20048.09</v>
      </c>
      <c r="L87" s="4">
        <v>19412</v>
      </c>
      <c r="M87" s="5"/>
      <c r="N87" s="5"/>
    </row>
    <row r="88" spans="2:23" x14ac:dyDescent="0.2">
      <c r="B88" s="8" t="s">
        <v>52</v>
      </c>
      <c r="C88" s="4">
        <v>4352</v>
      </c>
      <c r="D88" s="4">
        <v>6262</v>
      </c>
      <c r="E88" s="4">
        <v>5224</v>
      </c>
      <c r="F88" s="4">
        <v>8272</v>
      </c>
      <c r="G88" s="4">
        <v>6980</v>
      </c>
      <c r="H88" s="4">
        <v>8364</v>
      </c>
      <c r="I88" s="4">
        <v>6000</v>
      </c>
      <c r="J88" s="4">
        <v>6471</v>
      </c>
      <c r="K88" s="4">
        <v>5359.12</v>
      </c>
      <c r="L88" s="4">
        <v>0</v>
      </c>
      <c r="M88" s="5"/>
      <c r="N88" s="5"/>
    </row>
    <row r="89" spans="2:23" x14ac:dyDescent="0.2">
      <c r="B89" s="8" t="s">
        <v>53</v>
      </c>
      <c r="C89" s="4">
        <v>1600</v>
      </c>
      <c r="D89" s="4">
        <v>879</v>
      </c>
      <c r="E89" s="4">
        <v>851</v>
      </c>
      <c r="F89" s="4">
        <v>1428</v>
      </c>
      <c r="G89" s="4">
        <v>877</v>
      </c>
      <c r="H89" s="4">
        <v>215</v>
      </c>
      <c r="I89" s="4">
        <v>1262</v>
      </c>
      <c r="J89" s="4">
        <v>1621</v>
      </c>
      <c r="K89" s="4">
        <v>1101.0999999999999</v>
      </c>
      <c r="L89" s="4">
        <v>1132</v>
      </c>
      <c r="M89" s="5"/>
      <c r="N89" s="5"/>
    </row>
    <row r="90" spans="2:23" x14ac:dyDescent="0.2">
      <c r="B90" s="8" t="s">
        <v>54</v>
      </c>
      <c r="C90" s="4">
        <v>906855</v>
      </c>
      <c r="D90" s="4">
        <v>166295</v>
      </c>
      <c r="E90" s="4">
        <v>19258</v>
      </c>
      <c r="F90" s="4">
        <v>5336</v>
      </c>
      <c r="G90" s="4">
        <v>7265</v>
      </c>
      <c r="H90" s="4">
        <v>3885</v>
      </c>
      <c r="I90" s="4">
        <v>2071</v>
      </c>
      <c r="J90" s="4">
        <v>1955</v>
      </c>
      <c r="K90" s="4">
        <v>2773</v>
      </c>
      <c r="L90" s="4">
        <v>705</v>
      </c>
      <c r="M90" s="5"/>
      <c r="N90" s="5"/>
    </row>
    <row r="91" spans="2:23" x14ac:dyDescent="0.2">
      <c r="B91" s="8" t="s">
        <v>55</v>
      </c>
      <c r="C91" s="4">
        <v>41943</v>
      </c>
      <c r="D91" s="4">
        <v>38405</v>
      </c>
      <c r="E91" s="4">
        <v>30811</v>
      </c>
      <c r="F91" s="4">
        <v>39769</v>
      </c>
      <c r="G91" s="4">
        <v>45754</v>
      </c>
      <c r="H91" s="4">
        <v>20525</v>
      </c>
      <c r="I91" s="4">
        <v>32446</v>
      </c>
      <c r="J91" s="4">
        <v>39326</v>
      </c>
      <c r="K91" s="4">
        <v>65335.73</v>
      </c>
      <c r="L91" s="4">
        <v>4123</v>
      </c>
      <c r="M91" s="5"/>
      <c r="N91" s="5"/>
    </row>
    <row r="92" spans="2:23" x14ac:dyDescent="0.2">
      <c r="B92" s="8" t="s">
        <v>56</v>
      </c>
      <c r="C92" s="4">
        <v>71561</v>
      </c>
      <c r="D92" s="4">
        <v>11189</v>
      </c>
      <c r="E92" s="4">
        <v>16709</v>
      </c>
      <c r="F92" s="4">
        <v>21544</v>
      </c>
      <c r="G92" s="4">
        <v>19463</v>
      </c>
      <c r="H92" s="4">
        <v>23030</v>
      </c>
      <c r="I92" s="4">
        <v>23030</v>
      </c>
      <c r="J92" s="4">
        <v>23030</v>
      </c>
      <c r="K92" s="4">
        <v>201026</v>
      </c>
      <c r="L92" s="4">
        <v>133003</v>
      </c>
      <c r="M92" s="5"/>
      <c r="N92" s="5"/>
    </row>
    <row r="93" spans="2:23" x14ac:dyDescent="0.2">
      <c r="B93" s="8" t="s">
        <v>57</v>
      </c>
      <c r="C93" s="4">
        <v>7332</v>
      </c>
      <c r="D93" s="4">
        <v>9024</v>
      </c>
      <c r="E93" s="4">
        <v>17534</v>
      </c>
      <c r="F93" s="4">
        <v>17202</v>
      </c>
      <c r="G93" s="4">
        <v>10671</v>
      </c>
      <c r="H93" s="4">
        <v>4983</v>
      </c>
      <c r="I93" s="4">
        <v>8695</v>
      </c>
      <c r="J93" s="4">
        <v>7429</v>
      </c>
      <c r="K93" s="4">
        <v>6345</v>
      </c>
      <c r="L93" s="4">
        <v>0</v>
      </c>
      <c r="M93" s="5"/>
      <c r="N93" s="5"/>
    </row>
    <row r="94" spans="2:23" x14ac:dyDescent="0.2">
      <c r="B94" s="8" t="s">
        <v>58</v>
      </c>
      <c r="C94" s="4"/>
      <c r="D94" s="4"/>
      <c r="E94" s="4"/>
      <c r="F94" s="4"/>
      <c r="G94" s="4"/>
      <c r="H94" s="4"/>
      <c r="I94" s="4">
        <v>201131</v>
      </c>
      <c r="J94" s="4">
        <v>195182</v>
      </c>
      <c r="K94" s="4"/>
      <c r="L94" s="4">
        <v>0</v>
      </c>
      <c r="M94" s="5"/>
      <c r="N94" s="5"/>
    </row>
    <row r="95" spans="2:23" x14ac:dyDescent="0.2">
      <c r="B95" s="8" t="s">
        <v>59</v>
      </c>
      <c r="C95" s="4"/>
      <c r="D95" s="4"/>
      <c r="E95" s="4"/>
      <c r="F95" s="4"/>
      <c r="G95" s="4"/>
      <c r="H95" s="5"/>
      <c r="I95" s="5"/>
      <c r="J95" s="5"/>
      <c r="K95" s="5"/>
      <c r="L95" s="5"/>
      <c r="M95" s="5"/>
      <c r="N95" s="5"/>
    </row>
    <row r="96" spans="2:23" x14ac:dyDescent="0.2">
      <c r="B96" s="8" t="s">
        <v>60</v>
      </c>
      <c r="C96" s="4"/>
      <c r="D96" s="4"/>
      <c r="E96" s="4"/>
      <c r="F96" s="5"/>
      <c r="G96" s="5"/>
      <c r="H96" s="5"/>
      <c r="I96" s="5"/>
      <c r="J96" s="5"/>
      <c r="K96" s="5"/>
      <c r="L96" s="5"/>
      <c r="M96" s="5"/>
      <c r="N96" s="5"/>
      <c r="W96" s="8">
        <v>518</v>
      </c>
    </row>
    <row r="97" spans="2:23" x14ac:dyDescent="0.2">
      <c r="C97" s="71"/>
      <c r="D97" s="71"/>
      <c r="E97" s="71"/>
      <c r="W97" s="8">
        <v>340</v>
      </c>
    </row>
    <row r="98" spans="2:23" x14ac:dyDescent="0.2">
      <c r="W98" s="8">
        <f>+W96-W97</f>
        <v>178</v>
      </c>
    </row>
    <row r="99" spans="2:23" x14ac:dyDescent="0.2">
      <c r="B99" s="8" t="s">
        <v>61</v>
      </c>
      <c r="C99" s="4">
        <v>886374.69</v>
      </c>
      <c r="D99" s="4">
        <v>1273190.02</v>
      </c>
      <c r="E99" s="4">
        <v>745907.12</v>
      </c>
      <c r="F99" s="4">
        <v>1240905.23</v>
      </c>
      <c r="G99" s="4">
        <v>1141366.51</v>
      </c>
      <c r="H99" s="4">
        <v>1746922.35</v>
      </c>
      <c r="I99" s="4">
        <v>1203529.3700000001</v>
      </c>
      <c r="J99" s="4">
        <v>1415533.79</v>
      </c>
      <c r="K99" s="4">
        <v>882039.72</v>
      </c>
      <c r="L99" s="5">
        <v>1229585.8600000001</v>
      </c>
      <c r="M99" s="5"/>
      <c r="N99" s="5"/>
    </row>
    <row r="100" spans="2:23" x14ac:dyDescent="0.2">
      <c r="B100" s="8" t="s">
        <v>62</v>
      </c>
      <c r="C100" s="4">
        <v>447612.43</v>
      </c>
      <c r="D100" s="4">
        <v>703704.88</v>
      </c>
      <c r="E100" s="4">
        <v>315411.14</v>
      </c>
      <c r="F100" s="4">
        <v>603036.79</v>
      </c>
      <c r="G100" s="4">
        <v>604119.54</v>
      </c>
      <c r="H100" s="4">
        <v>468978.47</v>
      </c>
      <c r="I100" s="4">
        <v>79453.84</v>
      </c>
      <c r="J100" s="4">
        <v>64132</v>
      </c>
      <c r="K100" s="4">
        <v>486115.86</v>
      </c>
      <c r="L100" s="5">
        <v>649709.80000000005</v>
      </c>
      <c r="M100" s="5"/>
      <c r="N100" s="5"/>
    </row>
    <row r="101" spans="2:23" x14ac:dyDescent="0.2">
      <c r="B101" s="8" t="s">
        <v>63</v>
      </c>
      <c r="C101" s="4">
        <v>28006.94</v>
      </c>
      <c r="D101" s="4">
        <v>5759.99</v>
      </c>
      <c r="E101" s="4">
        <v>4205.5600000000004</v>
      </c>
      <c r="F101" s="4">
        <v>8695.5400000000009</v>
      </c>
      <c r="G101" s="4">
        <v>42333.630000000005</v>
      </c>
      <c r="H101" s="4">
        <v>24550</v>
      </c>
      <c r="I101" s="4">
        <v>27966.94</v>
      </c>
      <c r="J101" s="4">
        <v>25048</v>
      </c>
      <c r="K101" s="4">
        <v>2448.96</v>
      </c>
      <c r="L101" s="5">
        <v>0</v>
      </c>
      <c r="M101" s="5"/>
      <c r="N101" s="5"/>
    </row>
    <row r="102" spans="2:23" x14ac:dyDescent="0.2">
      <c r="B102" s="8" t="s">
        <v>64</v>
      </c>
      <c r="C102" s="4">
        <v>81544.039999999994</v>
      </c>
      <c r="D102" s="4">
        <v>59853.04</v>
      </c>
      <c r="E102" s="4">
        <v>42482.28</v>
      </c>
      <c r="F102" s="4">
        <v>54407</v>
      </c>
      <c r="G102" s="4">
        <v>86641.64</v>
      </c>
      <c r="H102" s="4">
        <v>64221.599999999999</v>
      </c>
      <c r="I102" s="4">
        <v>108335.78</v>
      </c>
      <c r="J102" s="4">
        <v>68157</v>
      </c>
      <c r="K102" s="4">
        <v>70999</v>
      </c>
      <c r="L102" s="5">
        <v>83287</v>
      </c>
      <c r="M102" s="5"/>
      <c r="N102" s="5"/>
    </row>
    <row r="103" spans="2:23" x14ac:dyDescent="0.2">
      <c r="B103" s="8" t="s">
        <v>65</v>
      </c>
      <c r="C103" s="4">
        <v>43206.22</v>
      </c>
      <c r="D103" s="4">
        <v>19303.66</v>
      </c>
      <c r="E103" s="4">
        <v>24013.37</v>
      </c>
      <c r="F103" s="4">
        <v>16273</v>
      </c>
      <c r="G103" s="4">
        <v>531495.88000000012</v>
      </c>
      <c r="H103" s="4">
        <v>1327502.99</v>
      </c>
      <c r="I103" s="4">
        <v>605643.95000000007</v>
      </c>
      <c r="J103" s="4">
        <v>568223.60000000009</v>
      </c>
      <c r="K103" s="4">
        <v>26813.26</v>
      </c>
      <c r="L103" s="5">
        <v>12258</v>
      </c>
      <c r="M103" s="5"/>
      <c r="N103" s="5"/>
    </row>
    <row r="104" spans="2:23" x14ac:dyDescent="0.2">
      <c r="B104" s="8" t="s">
        <v>66</v>
      </c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5"/>
      <c r="N104" s="5"/>
    </row>
    <row r="105" spans="2:23" x14ac:dyDescent="0.2">
      <c r="B105" s="8" t="s">
        <v>67</v>
      </c>
      <c r="C105" s="4">
        <v>212062</v>
      </c>
      <c r="D105" s="4">
        <v>250881</v>
      </c>
      <c r="E105" s="4">
        <v>235424.24</v>
      </c>
      <c r="F105" s="4">
        <v>319361</v>
      </c>
      <c r="G105" s="4">
        <v>274850</v>
      </c>
      <c r="H105" s="4">
        <v>295078</v>
      </c>
      <c r="I105" s="4">
        <v>325482</v>
      </c>
      <c r="J105" s="4">
        <v>405882</v>
      </c>
      <c r="K105" s="4">
        <v>331967</v>
      </c>
      <c r="L105" s="5">
        <v>435089</v>
      </c>
      <c r="M105" s="5"/>
      <c r="N105" s="5"/>
    </row>
    <row r="106" spans="2:23" x14ac:dyDescent="0.2">
      <c r="B106" s="8" t="s">
        <v>68</v>
      </c>
      <c r="C106" s="4">
        <v>34951</v>
      </c>
      <c r="D106" s="4">
        <v>15671</v>
      </c>
      <c r="E106" s="4">
        <v>19958</v>
      </c>
      <c r="F106" s="4">
        <v>13189</v>
      </c>
      <c r="G106" s="4">
        <v>21932</v>
      </c>
      <c r="H106" s="4">
        <v>13318</v>
      </c>
      <c r="I106" s="4">
        <v>23104.38</v>
      </c>
      <c r="J106" s="4">
        <v>16500</v>
      </c>
      <c r="K106" s="4">
        <v>8602</v>
      </c>
      <c r="L106" s="5">
        <v>31747</v>
      </c>
      <c r="M106" s="5"/>
      <c r="N106" s="5"/>
    </row>
    <row r="107" spans="2:23" x14ac:dyDescent="0.2">
      <c r="B107" s="8" t="s">
        <v>69</v>
      </c>
      <c r="C107" s="4"/>
      <c r="D107" s="4"/>
      <c r="E107" s="4"/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/>
      <c r="L107" s="5">
        <v>0</v>
      </c>
      <c r="M107" s="5"/>
      <c r="N107" s="5"/>
    </row>
    <row r="108" spans="2:23" x14ac:dyDescent="0.2">
      <c r="B108" s="8" t="s">
        <v>70</v>
      </c>
      <c r="C108" s="4">
        <v>318770</v>
      </c>
      <c r="D108" s="4">
        <v>356125.38</v>
      </c>
      <c r="E108" s="4">
        <v>179275.38</v>
      </c>
      <c r="F108" s="4">
        <v>356873.38</v>
      </c>
      <c r="G108" s="4">
        <v>200159.19999999998</v>
      </c>
      <c r="H108" s="4">
        <v>185288.56</v>
      </c>
      <c r="I108" s="4">
        <v>253116.69</v>
      </c>
      <c r="J108" s="4">
        <v>277906.98</v>
      </c>
      <c r="K108" s="4">
        <v>378202.38</v>
      </c>
      <c r="L108" s="5">
        <v>349761.4</v>
      </c>
      <c r="M108" s="5"/>
      <c r="N108" s="5"/>
    </row>
    <row r="109" spans="2:23" x14ac:dyDescent="0.2">
      <c r="B109" s="8" t="s">
        <v>71</v>
      </c>
      <c r="C109" s="4"/>
      <c r="D109" s="4"/>
      <c r="E109" s="4"/>
      <c r="F109" s="4"/>
      <c r="G109" s="4">
        <v>0</v>
      </c>
      <c r="H109" s="4">
        <v>0</v>
      </c>
      <c r="I109" s="4">
        <v>0</v>
      </c>
      <c r="J109" s="4">
        <v>0</v>
      </c>
      <c r="K109" s="4"/>
      <c r="L109" s="5"/>
      <c r="M109" s="5"/>
      <c r="N109" s="5"/>
    </row>
    <row r="110" spans="2:23" x14ac:dyDescent="0.2">
      <c r="B110" s="8" t="s">
        <v>72</v>
      </c>
      <c r="C110" s="4"/>
      <c r="D110" s="4">
        <v>230871</v>
      </c>
      <c r="E110" s="4"/>
      <c r="F110" s="4">
        <v>49075</v>
      </c>
      <c r="G110" s="4">
        <v>0</v>
      </c>
      <c r="H110" s="4">
        <v>0</v>
      </c>
      <c r="I110" s="4">
        <v>0</v>
      </c>
      <c r="J110" s="4">
        <v>0</v>
      </c>
      <c r="K110" s="4"/>
      <c r="L110" s="5">
        <v>50877</v>
      </c>
      <c r="M110" s="5" t="s">
        <v>139</v>
      </c>
      <c r="N110" s="5"/>
    </row>
    <row r="111" spans="2:23" x14ac:dyDescent="0.2">
      <c r="B111" s="8" t="s">
        <v>73</v>
      </c>
      <c r="C111" s="4"/>
      <c r="D111" s="4"/>
      <c r="E111" s="4"/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/>
      <c r="M111" s="5"/>
      <c r="N111" s="5"/>
    </row>
    <row r="112" spans="2:23" x14ac:dyDescent="0.2">
      <c r="B112" s="8" t="s">
        <v>74</v>
      </c>
      <c r="C112" s="4"/>
      <c r="D112" s="4"/>
      <c r="E112" s="4"/>
      <c r="F112" s="4">
        <v>0</v>
      </c>
      <c r="G112" s="4">
        <v>0</v>
      </c>
      <c r="H112" s="4"/>
      <c r="I112" s="4"/>
      <c r="J112" s="4"/>
      <c r="K112" s="4"/>
      <c r="L112" s="5"/>
      <c r="M112" s="5"/>
      <c r="N112" s="5"/>
    </row>
    <row r="113" spans="2:14" x14ac:dyDescent="0.2">
      <c r="B113" s="8" t="s">
        <v>75</v>
      </c>
      <c r="C113" s="4"/>
      <c r="D113" s="4"/>
      <c r="E113" s="4"/>
      <c r="F113" s="4">
        <v>0</v>
      </c>
      <c r="G113" s="4">
        <v>0</v>
      </c>
      <c r="H113" s="4"/>
      <c r="I113" s="4"/>
      <c r="J113" s="4"/>
      <c r="K113" s="4"/>
      <c r="L113" s="5"/>
      <c r="M113" s="5"/>
      <c r="N113" s="5"/>
    </row>
    <row r="114" spans="2:14" x14ac:dyDescent="0.2">
      <c r="B114" s="8" t="s">
        <v>76</v>
      </c>
      <c r="C114" s="4"/>
      <c r="D114" s="4"/>
      <c r="E114" s="4"/>
      <c r="F114" s="4">
        <v>0</v>
      </c>
      <c r="G114" s="4">
        <v>0</v>
      </c>
      <c r="H114" s="4"/>
      <c r="I114" s="4"/>
      <c r="J114" s="4"/>
      <c r="K114" s="4">
        <v>303678</v>
      </c>
      <c r="L114" s="5"/>
      <c r="M114" s="5"/>
      <c r="N114" s="5"/>
    </row>
    <row r="115" spans="2:14" x14ac:dyDescent="0.2">
      <c r="C115" s="71"/>
      <c r="D115" s="71"/>
      <c r="E115" s="71"/>
      <c r="K115" s="71"/>
    </row>
    <row r="116" spans="2:14" x14ac:dyDescent="0.2">
      <c r="K116" s="71"/>
    </row>
  </sheetData>
  <mergeCells count="2">
    <mergeCell ref="G41:H41"/>
    <mergeCell ref="H81:I8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5"/>
  <sheetViews>
    <sheetView topLeftCell="A25" workbookViewId="0">
      <selection activeCell="N38" sqref="N38"/>
    </sheetView>
  </sheetViews>
  <sheetFormatPr baseColWidth="10" defaultRowHeight="11.25" x14ac:dyDescent="0.2"/>
  <cols>
    <col min="1" max="16384" width="11.42578125" style="8"/>
  </cols>
  <sheetData>
    <row r="3" spans="1:16" x14ac:dyDescent="0.2">
      <c r="G3" s="141" t="s">
        <v>113</v>
      </c>
      <c r="H3" s="141"/>
      <c r="I3" s="141"/>
      <c r="J3" s="141"/>
      <c r="K3" s="141"/>
    </row>
    <row r="5" spans="1:16" x14ac:dyDescent="0.2">
      <c r="C5" s="8">
        <v>2017</v>
      </c>
      <c r="D5" s="5" t="s">
        <v>0</v>
      </c>
      <c r="E5" s="5" t="s">
        <v>1</v>
      </c>
      <c r="F5" s="5" t="s">
        <v>45</v>
      </c>
      <c r="G5" s="5" t="s">
        <v>3</v>
      </c>
      <c r="H5" s="5" t="s">
        <v>4</v>
      </c>
      <c r="I5" s="5" t="s">
        <v>5</v>
      </c>
      <c r="J5" s="5" t="s">
        <v>91</v>
      </c>
      <c r="K5" s="5" t="s">
        <v>92</v>
      </c>
      <c r="L5" s="19" t="s">
        <v>99</v>
      </c>
      <c r="M5" s="19" t="s">
        <v>100</v>
      </c>
      <c r="N5" s="19" t="s">
        <v>101</v>
      </c>
      <c r="O5" s="19" t="s">
        <v>102</v>
      </c>
    </row>
    <row r="6" spans="1:16" x14ac:dyDescent="0.2">
      <c r="A6" s="146" t="s">
        <v>77</v>
      </c>
      <c r="B6" s="146"/>
      <c r="C6" s="146"/>
      <c r="D6" s="49">
        <f>4656+14</f>
        <v>4670</v>
      </c>
      <c r="E6" s="23">
        <v>4675</v>
      </c>
      <c r="F6" s="50">
        <v>4679</v>
      </c>
      <c r="G6" s="51">
        <v>4694</v>
      </c>
      <c r="H6" s="52">
        <f>+G6+13</f>
        <v>4707</v>
      </c>
      <c r="I6" s="53">
        <f>+H6+14</f>
        <v>4721</v>
      </c>
      <c r="J6" s="54">
        <f>+I6+12</f>
        <v>4733</v>
      </c>
      <c r="K6" s="55">
        <f>+J6+9-10</f>
        <v>4732</v>
      </c>
      <c r="L6" s="56">
        <f>+K6+9</f>
        <v>4741</v>
      </c>
      <c r="M6" s="5">
        <v>4742</v>
      </c>
      <c r="N6" s="5">
        <v>4742</v>
      </c>
      <c r="O6" s="5">
        <v>4746</v>
      </c>
    </row>
    <row r="7" spans="1:16" x14ac:dyDescent="0.2">
      <c r="A7" s="146" t="s">
        <v>78</v>
      </c>
      <c r="B7" s="146"/>
      <c r="C7" s="146"/>
      <c r="D7" s="49">
        <v>202</v>
      </c>
      <c r="E7" s="49">
        <v>202</v>
      </c>
      <c r="F7" s="50">
        <v>201</v>
      </c>
      <c r="G7" s="51">
        <v>203</v>
      </c>
      <c r="H7" s="52">
        <v>202</v>
      </c>
      <c r="I7" s="53">
        <v>202</v>
      </c>
      <c r="J7" s="54">
        <v>202</v>
      </c>
      <c r="K7" s="55">
        <v>202</v>
      </c>
      <c r="L7" s="56">
        <v>204</v>
      </c>
      <c r="M7" s="5">
        <v>204</v>
      </c>
      <c r="N7" s="5">
        <v>204</v>
      </c>
      <c r="O7" s="5">
        <v>204</v>
      </c>
    </row>
    <row r="8" spans="1:16" x14ac:dyDescent="0.2">
      <c r="A8" s="146" t="s">
        <v>79</v>
      </c>
      <c r="B8" s="146"/>
      <c r="C8" s="146"/>
      <c r="D8" s="49">
        <v>11</v>
      </c>
      <c r="E8" s="49">
        <v>11</v>
      </c>
      <c r="F8" s="50">
        <v>13</v>
      </c>
      <c r="G8" s="51">
        <v>13</v>
      </c>
      <c r="H8" s="52">
        <v>13</v>
      </c>
      <c r="I8" s="53">
        <v>13</v>
      </c>
      <c r="J8" s="54">
        <v>13</v>
      </c>
      <c r="K8" s="55">
        <v>14</v>
      </c>
      <c r="L8" s="56">
        <v>14</v>
      </c>
      <c r="M8" s="5">
        <v>14</v>
      </c>
      <c r="N8" s="5">
        <v>14</v>
      </c>
      <c r="O8" s="5">
        <v>14</v>
      </c>
    </row>
    <row r="9" spans="1:16" x14ac:dyDescent="0.2">
      <c r="A9" s="146" t="s">
        <v>80</v>
      </c>
      <c r="B9" s="146"/>
      <c r="C9" s="146"/>
      <c r="D9" s="49">
        <v>236</v>
      </c>
      <c r="E9" s="49">
        <v>236</v>
      </c>
      <c r="F9" s="50">
        <v>234</v>
      </c>
      <c r="G9" s="51">
        <v>235</v>
      </c>
      <c r="H9" s="52">
        <v>235</v>
      </c>
      <c r="I9" s="53">
        <v>235</v>
      </c>
      <c r="J9" s="54">
        <v>235</v>
      </c>
      <c r="K9" s="55">
        <v>245</v>
      </c>
      <c r="L9" s="56">
        <v>247</v>
      </c>
      <c r="M9" s="5">
        <v>246</v>
      </c>
      <c r="N9" s="5">
        <v>246</v>
      </c>
      <c r="O9" s="5">
        <v>246</v>
      </c>
    </row>
    <row r="10" spans="1:16" x14ac:dyDescent="0.2">
      <c r="A10" s="146" t="s">
        <v>81</v>
      </c>
      <c r="B10" s="146"/>
      <c r="C10" s="146"/>
      <c r="D10" s="49">
        <v>87</v>
      </c>
      <c r="E10" s="49">
        <v>87</v>
      </c>
      <c r="F10" s="50">
        <v>88</v>
      </c>
      <c r="G10" s="51">
        <v>88</v>
      </c>
      <c r="H10" s="52">
        <v>88</v>
      </c>
      <c r="I10" s="53">
        <v>88</v>
      </c>
      <c r="J10" s="54">
        <v>88</v>
      </c>
      <c r="K10" s="55">
        <v>87</v>
      </c>
      <c r="L10" s="56">
        <v>87</v>
      </c>
      <c r="M10" s="5">
        <v>88</v>
      </c>
      <c r="N10" s="5">
        <v>88</v>
      </c>
      <c r="O10" s="5">
        <v>88</v>
      </c>
    </row>
    <row r="11" spans="1:16" x14ac:dyDescent="0.2">
      <c r="D11" s="8">
        <f t="shared" ref="D11:I11" si="0">SUM(D6:D10)</f>
        <v>5206</v>
      </c>
      <c r="E11" s="8">
        <f t="shared" si="0"/>
        <v>5211</v>
      </c>
      <c r="F11" s="8">
        <f t="shared" si="0"/>
        <v>5215</v>
      </c>
      <c r="G11" s="8">
        <f t="shared" si="0"/>
        <v>5233</v>
      </c>
      <c r="H11" s="8">
        <f t="shared" si="0"/>
        <v>5245</v>
      </c>
      <c r="I11" s="8">
        <f t="shared" si="0"/>
        <v>5259</v>
      </c>
      <c r="J11" s="57">
        <f t="shared" ref="J11:O11" si="1">SUM(J6:J10)</f>
        <v>5271</v>
      </c>
      <c r="K11" s="57">
        <f t="shared" si="1"/>
        <v>5280</v>
      </c>
      <c r="L11" s="57">
        <f t="shared" si="1"/>
        <v>5293</v>
      </c>
      <c r="M11" s="57">
        <f t="shared" si="1"/>
        <v>5294</v>
      </c>
      <c r="N11" s="57">
        <f t="shared" si="1"/>
        <v>5294</v>
      </c>
      <c r="O11" s="8">
        <f t="shared" si="1"/>
        <v>5298</v>
      </c>
      <c r="P11" s="8">
        <f>+O11-D11</f>
        <v>92</v>
      </c>
    </row>
    <row r="12" spans="1:16" x14ac:dyDescent="0.2"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6" x14ac:dyDescent="0.2">
      <c r="D13" s="48"/>
      <c r="E13" s="48"/>
      <c r="F13" s="48"/>
      <c r="G13" s="48"/>
      <c r="H13" s="48"/>
      <c r="I13" s="48"/>
      <c r="J13" s="48"/>
      <c r="K13" s="48"/>
    </row>
    <row r="15" spans="1:16" x14ac:dyDescent="0.2">
      <c r="C15" s="8">
        <v>2018</v>
      </c>
      <c r="G15" s="141" t="s">
        <v>112</v>
      </c>
      <c r="H15" s="141"/>
      <c r="I15" s="141"/>
      <c r="J15" s="141"/>
      <c r="K15" s="141"/>
    </row>
    <row r="16" spans="1:16" x14ac:dyDescent="0.2">
      <c r="A16" s="146" t="s">
        <v>77</v>
      </c>
      <c r="B16" s="146"/>
      <c r="C16" s="146"/>
      <c r="D16" s="59">
        <f>+O6+D12</f>
        <v>4746</v>
      </c>
      <c r="E16" s="59">
        <f>+D16+F12</f>
        <v>4746</v>
      </c>
      <c r="F16" s="59">
        <f>+E16+F12</f>
        <v>4746</v>
      </c>
      <c r="G16" s="59">
        <f>+F16+G12</f>
        <v>4746</v>
      </c>
      <c r="H16" s="59">
        <f>+G16+H12</f>
        <v>4746</v>
      </c>
      <c r="I16" s="59">
        <f>+H16+I12</f>
        <v>4746</v>
      </c>
      <c r="J16" s="59">
        <f>+I16+21</f>
        <v>4767</v>
      </c>
      <c r="K16" s="59">
        <f>+J16+22</f>
        <v>4789</v>
      </c>
      <c r="L16" s="59">
        <f>+K16+15</f>
        <v>4804</v>
      </c>
      <c r="M16" s="59">
        <f>+L16:L17+7</f>
        <v>4811</v>
      </c>
      <c r="N16" s="59">
        <f>+M16+7</f>
        <v>4818</v>
      </c>
      <c r="O16" s="59">
        <f>+N16+8</f>
        <v>4826</v>
      </c>
    </row>
    <row r="17" spans="1:15" x14ac:dyDescent="0.2">
      <c r="A17" s="146" t="s">
        <v>78</v>
      </c>
      <c r="B17" s="146"/>
      <c r="C17" s="146"/>
      <c r="D17" s="49">
        <v>202</v>
      </c>
      <c r="E17" s="49">
        <v>202</v>
      </c>
      <c r="F17" s="50">
        <v>201</v>
      </c>
      <c r="G17" s="51">
        <v>203</v>
      </c>
      <c r="H17" s="52">
        <v>202</v>
      </c>
      <c r="I17" s="53">
        <v>202</v>
      </c>
      <c r="J17" s="54">
        <v>202</v>
      </c>
      <c r="K17" s="55">
        <v>202</v>
      </c>
      <c r="L17" s="56">
        <v>204</v>
      </c>
      <c r="M17" s="5">
        <v>204</v>
      </c>
      <c r="N17" s="5">
        <v>204</v>
      </c>
      <c r="O17" s="5">
        <v>195</v>
      </c>
    </row>
    <row r="18" spans="1:15" x14ac:dyDescent="0.2">
      <c r="A18" s="146" t="s">
        <v>79</v>
      </c>
      <c r="B18" s="146"/>
      <c r="C18" s="146"/>
      <c r="D18" s="49">
        <v>11</v>
      </c>
      <c r="E18" s="49">
        <v>11</v>
      </c>
      <c r="F18" s="50">
        <v>13</v>
      </c>
      <c r="G18" s="51">
        <v>13</v>
      </c>
      <c r="H18" s="52">
        <v>13</v>
      </c>
      <c r="I18" s="53">
        <v>13</v>
      </c>
      <c r="J18" s="54">
        <v>13</v>
      </c>
      <c r="K18" s="55">
        <v>14</v>
      </c>
      <c r="L18" s="56">
        <v>14</v>
      </c>
      <c r="M18" s="5">
        <v>14</v>
      </c>
      <c r="N18" s="5">
        <v>14</v>
      </c>
      <c r="O18" s="5">
        <v>14</v>
      </c>
    </row>
    <row r="19" spans="1:15" x14ac:dyDescent="0.2">
      <c r="A19" s="146" t="s">
        <v>80</v>
      </c>
      <c r="B19" s="146"/>
      <c r="C19" s="146"/>
      <c r="D19" s="49">
        <v>236</v>
      </c>
      <c r="E19" s="49">
        <v>236</v>
      </c>
      <c r="F19" s="50">
        <v>234</v>
      </c>
      <c r="G19" s="51">
        <v>235</v>
      </c>
      <c r="H19" s="52">
        <v>235</v>
      </c>
      <c r="I19" s="53">
        <v>235</v>
      </c>
      <c r="J19" s="54">
        <v>235</v>
      </c>
      <c r="K19" s="55">
        <v>245</v>
      </c>
      <c r="L19" s="56">
        <v>247</v>
      </c>
      <c r="M19" s="5">
        <v>246</v>
      </c>
      <c r="N19" s="5">
        <v>246</v>
      </c>
      <c r="O19" s="5">
        <v>246</v>
      </c>
    </row>
    <row r="20" spans="1:15" x14ac:dyDescent="0.2">
      <c r="A20" s="146" t="s">
        <v>81</v>
      </c>
      <c r="B20" s="146"/>
      <c r="C20" s="146"/>
      <c r="D20" s="49">
        <v>87</v>
      </c>
      <c r="E20" s="49">
        <v>87</v>
      </c>
      <c r="F20" s="50">
        <v>88</v>
      </c>
      <c r="G20" s="51">
        <v>88</v>
      </c>
      <c r="H20" s="52">
        <v>88</v>
      </c>
      <c r="I20" s="53">
        <v>88</v>
      </c>
      <c r="J20" s="54">
        <v>88</v>
      </c>
      <c r="K20" s="55">
        <v>87</v>
      </c>
      <c r="L20" s="56">
        <v>87</v>
      </c>
      <c r="M20" s="5">
        <v>88</v>
      </c>
      <c r="N20" s="5">
        <v>88</v>
      </c>
      <c r="O20" s="5">
        <v>88</v>
      </c>
    </row>
    <row r="21" spans="1:15" x14ac:dyDescent="0.2">
      <c r="D21" s="48">
        <f t="shared" ref="D21:I21" si="2">SUM(D16:D20)</f>
        <v>5282</v>
      </c>
      <c r="E21" s="48">
        <f t="shared" si="2"/>
        <v>5282</v>
      </c>
      <c r="F21" s="48">
        <f t="shared" si="2"/>
        <v>5282</v>
      </c>
      <c r="G21" s="48">
        <f t="shared" si="2"/>
        <v>5285</v>
      </c>
      <c r="H21" s="48">
        <f t="shared" si="2"/>
        <v>5284</v>
      </c>
      <c r="I21" s="48">
        <f t="shared" si="2"/>
        <v>5284</v>
      </c>
      <c r="J21" s="48">
        <f>+I21+26</f>
        <v>5310</v>
      </c>
      <c r="K21" s="48">
        <f>SUM(K16:K20)</f>
        <v>5337</v>
      </c>
      <c r="L21" s="48">
        <f>+K21+3</f>
        <v>5340</v>
      </c>
      <c r="M21" s="48">
        <f>+L21+7</f>
        <v>5347</v>
      </c>
      <c r="N21" s="48">
        <f>+M21+7</f>
        <v>5354</v>
      </c>
      <c r="O21" s="48">
        <f>+N21+8</f>
        <v>5362</v>
      </c>
    </row>
    <row r="23" spans="1:15" x14ac:dyDescent="0.2">
      <c r="C23" s="8">
        <v>2019</v>
      </c>
      <c r="G23" s="141" t="s">
        <v>132</v>
      </c>
      <c r="H23" s="141"/>
      <c r="I23" s="141"/>
      <c r="J23" s="141"/>
      <c r="K23" s="141"/>
    </row>
    <row r="24" spans="1:15" x14ac:dyDescent="0.2">
      <c r="A24" s="146" t="s">
        <v>77</v>
      </c>
      <c r="B24" s="146"/>
      <c r="C24" s="146"/>
      <c r="D24" s="59">
        <v>4752</v>
      </c>
      <c r="E24" s="59">
        <v>4781</v>
      </c>
      <c r="F24" s="59">
        <v>4784</v>
      </c>
      <c r="G24" s="59">
        <v>4784</v>
      </c>
      <c r="H24" s="59">
        <v>4788</v>
      </c>
      <c r="I24" s="59">
        <v>4817</v>
      </c>
      <c r="J24" s="59">
        <f>+I24+10</f>
        <v>4827</v>
      </c>
      <c r="K24" s="59">
        <v>4828</v>
      </c>
      <c r="L24" s="59">
        <v>4819</v>
      </c>
      <c r="M24" s="59">
        <v>4835</v>
      </c>
      <c r="N24" s="59">
        <v>4829</v>
      </c>
      <c r="O24" s="59"/>
    </row>
    <row r="25" spans="1:15" x14ac:dyDescent="0.2">
      <c r="A25" s="146" t="s">
        <v>78</v>
      </c>
      <c r="B25" s="146"/>
      <c r="C25" s="146"/>
      <c r="D25" s="49">
        <v>202</v>
      </c>
      <c r="E25" s="49">
        <v>196</v>
      </c>
      <c r="F25" s="50">
        <v>195</v>
      </c>
      <c r="G25" s="51">
        <v>195</v>
      </c>
      <c r="H25" s="52">
        <v>195</v>
      </c>
      <c r="I25" s="53">
        <v>196</v>
      </c>
      <c r="J25" s="54">
        <v>196</v>
      </c>
      <c r="K25" s="55">
        <v>199</v>
      </c>
      <c r="L25" s="56">
        <v>205</v>
      </c>
      <c r="M25" s="5">
        <v>206</v>
      </c>
      <c r="N25" s="5">
        <v>207</v>
      </c>
      <c r="O25" s="5"/>
    </row>
    <row r="26" spans="1:15" x14ac:dyDescent="0.2">
      <c r="A26" s="146" t="s">
        <v>79</v>
      </c>
      <c r="B26" s="146"/>
      <c r="C26" s="146"/>
      <c r="D26" s="49">
        <v>14</v>
      </c>
      <c r="E26" s="49">
        <v>14</v>
      </c>
      <c r="F26" s="50">
        <v>15</v>
      </c>
      <c r="G26" s="51">
        <v>15</v>
      </c>
      <c r="H26" s="52">
        <v>15</v>
      </c>
      <c r="I26" s="53">
        <v>15</v>
      </c>
      <c r="J26" s="54">
        <v>15</v>
      </c>
      <c r="K26" s="55">
        <v>13</v>
      </c>
      <c r="L26" s="56">
        <v>16</v>
      </c>
      <c r="M26" s="5">
        <v>16</v>
      </c>
      <c r="N26" s="5">
        <v>16</v>
      </c>
      <c r="O26" s="5"/>
    </row>
    <row r="27" spans="1:15" x14ac:dyDescent="0.2">
      <c r="A27" s="146" t="s">
        <v>80</v>
      </c>
      <c r="B27" s="146"/>
      <c r="C27" s="146"/>
      <c r="D27" s="49">
        <v>248</v>
      </c>
      <c r="E27" s="49">
        <v>233</v>
      </c>
      <c r="F27" s="50">
        <v>232</v>
      </c>
      <c r="G27" s="51">
        <v>233</v>
      </c>
      <c r="H27" s="52">
        <v>231</v>
      </c>
      <c r="I27" s="53">
        <v>232</v>
      </c>
      <c r="J27" s="54">
        <v>232</v>
      </c>
      <c r="K27" s="55">
        <v>238</v>
      </c>
      <c r="L27" s="56">
        <v>269</v>
      </c>
      <c r="M27" s="5">
        <v>269</v>
      </c>
      <c r="N27" s="5">
        <v>269</v>
      </c>
      <c r="O27" s="5"/>
    </row>
    <row r="28" spans="1:15" x14ac:dyDescent="0.2">
      <c r="A28" s="146" t="s">
        <v>81</v>
      </c>
      <c r="B28" s="146"/>
      <c r="C28" s="146"/>
      <c r="D28" s="49">
        <v>87</v>
      </c>
      <c r="E28" s="49">
        <v>87</v>
      </c>
      <c r="F28" s="50">
        <v>87</v>
      </c>
      <c r="G28" s="51">
        <v>88</v>
      </c>
      <c r="H28" s="52">
        <v>88</v>
      </c>
      <c r="I28" s="53">
        <v>88</v>
      </c>
      <c r="J28" s="54">
        <v>88</v>
      </c>
      <c r="K28" s="55">
        <v>89</v>
      </c>
      <c r="L28" s="56">
        <v>89</v>
      </c>
      <c r="M28" s="5">
        <v>89</v>
      </c>
      <c r="N28" s="5">
        <v>89</v>
      </c>
      <c r="O28" s="5"/>
    </row>
    <row r="29" spans="1:15" x14ac:dyDescent="0.2">
      <c r="D29" s="138">
        <f>SUM(D24:D28)</f>
        <v>5303</v>
      </c>
      <c r="E29" s="138">
        <f>SUM(E24:E28)</f>
        <v>5311</v>
      </c>
      <c r="F29" s="138">
        <f t="shared" ref="F29:O29" si="3">SUM(F24:F28)</f>
        <v>5313</v>
      </c>
      <c r="G29" s="138">
        <f t="shared" si="3"/>
        <v>5315</v>
      </c>
      <c r="H29" s="138">
        <f t="shared" si="3"/>
        <v>5317</v>
      </c>
      <c r="I29" s="138">
        <f t="shared" si="3"/>
        <v>5348</v>
      </c>
      <c r="J29" s="138">
        <f t="shared" si="3"/>
        <v>5358</v>
      </c>
      <c r="K29" s="138">
        <f t="shared" si="3"/>
        <v>5367</v>
      </c>
      <c r="L29" s="138">
        <f t="shared" si="3"/>
        <v>5398</v>
      </c>
      <c r="M29" s="138">
        <f t="shared" si="3"/>
        <v>5415</v>
      </c>
      <c r="N29" s="48">
        <f t="shared" si="3"/>
        <v>5410</v>
      </c>
      <c r="O29" s="48">
        <f t="shared" si="3"/>
        <v>0</v>
      </c>
    </row>
    <row r="30" spans="1:15" x14ac:dyDescent="0.2">
      <c r="M30" s="48"/>
      <c r="N30" s="48">
        <f>+N29-305</f>
        <v>5105</v>
      </c>
    </row>
    <row r="32" spans="1:15" x14ac:dyDescent="0.2">
      <c r="G32" s="141" t="s">
        <v>133</v>
      </c>
      <c r="H32" s="141"/>
      <c r="I32" s="141"/>
      <c r="J32" s="141"/>
      <c r="K32" s="141"/>
    </row>
    <row r="33" spans="1:14" x14ac:dyDescent="0.2">
      <c r="A33" s="146" t="s">
        <v>77</v>
      </c>
      <c r="B33" s="146"/>
      <c r="C33" s="147"/>
      <c r="D33" s="59">
        <v>5507</v>
      </c>
      <c r="E33" s="59">
        <v>5536</v>
      </c>
      <c r="F33" s="59">
        <v>5539</v>
      </c>
      <c r="G33" s="59">
        <v>5539</v>
      </c>
      <c r="H33" s="59">
        <v>5543</v>
      </c>
      <c r="I33" s="59">
        <v>5572</v>
      </c>
      <c r="J33" s="59">
        <v>5582</v>
      </c>
      <c r="K33" s="59">
        <v>5583</v>
      </c>
      <c r="L33" s="59">
        <v>5574</v>
      </c>
      <c r="M33" s="5">
        <v>5590</v>
      </c>
      <c r="N33" s="59">
        <v>5596</v>
      </c>
    </row>
    <row r="34" spans="1:14" x14ac:dyDescent="0.2">
      <c r="A34" s="146" t="s">
        <v>78</v>
      </c>
      <c r="B34" s="146"/>
      <c r="C34" s="147"/>
      <c r="D34" s="59">
        <v>234</v>
      </c>
      <c r="E34" s="59">
        <v>228</v>
      </c>
      <c r="F34" s="59">
        <v>227</v>
      </c>
      <c r="G34" s="59">
        <v>227</v>
      </c>
      <c r="H34" s="59">
        <v>227</v>
      </c>
      <c r="I34" s="59">
        <v>228</v>
      </c>
      <c r="J34" s="59">
        <v>228</v>
      </c>
      <c r="K34" s="59">
        <v>231</v>
      </c>
      <c r="L34" s="59">
        <v>237</v>
      </c>
      <c r="M34" s="5">
        <v>238</v>
      </c>
      <c r="N34" s="59">
        <v>239</v>
      </c>
    </row>
    <row r="35" spans="1:14" x14ac:dyDescent="0.2">
      <c r="A35" s="146" t="s">
        <v>79</v>
      </c>
      <c r="B35" s="146"/>
      <c r="C35" s="147"/>
      <c r="D35" s="59">
        <v>21</v>
      </c>
      <c r="E35" s="59">
        <v>21</v>
      </c>
      <c r="F35" s="59">
        <v>22</v>
      </c>
      <c r="G35" s="59">
        <v>22</v>
      </c>
      <c r="H35" s="59">
        <v>22</v>
      </c>
      <c r="I35" s="59">
        <v>22</v>
      </c>
      <c r="J35" s="59">
        <v>22</v>
      </c>
      <c r="K35" s="59">
        <v>20</v>
      </c>
      <c r="L35" s="59">
        <v>23</v>
      </c>
      <c r="M35" s="5">
        <v>23</v>
      </c>
      <c r="N35" s="59">
        <v>23</v>
      </c>
    </row>
    <row r="36" spans="1:14" x14ac:dyDescent="0.2">
      <c r="A36" s="146" t="s">
        <v>80</v>
      </c>
      <c r="B36" s="146"/>
      <c r="C36" s="147"/>
      <c r="D36" s="59">
        <v>255</v>
      </c>
      <c r="E36" s="59">
        <v>240</v>
      </c>
      <c r="F36" s="59">
        <v>239</v>
      </c>
      <c r="G36" s="59">
        <v>240</v>
      </c>
      <c r="H36" s="59">
        <v>238</v>
      </c>
      <c r="I36" s="59">
        <v>239</v>
      </c>
      <c r="J36" s="59">
        <v>239</v>
      </c>
      <c r="K36" s="59">
        <v>245</v>
      </c>
      <c r="L36" s="59">
        <v>276</v>
      </c>
      <c r="M36" s="5">
        <v>276</v>
      </c>
      <c r="N36" s="59">
        <v>275</v>
      </c>
    </row>
    <row r="37" spans="1:14" x14ac:dyDescent="0.2">
      <c r="A37" s="146" t="s">
        <v>81</v>
      </c>
      <c r="B37" s="146"/>
      <c r="C37" s="147"/>
      <c r="D37" s="59">
        <v>87</v>
      </c>
      <c r="E37" s="59">
        <v>87</v>
      </c>
      <c r="F37" s="5">
        <v>87</v>
      </c>
      <c r="G37" s="59">
        <v>89</v>
      </c>
      <c r="H37" s="59">
        <v>89</v>
      </c>
      <c r="I37" s="59">
        <v>89</v>
      </c>
      <c r="J37" s="59">
        <v>89</v>
      </c>
      <c r="K37" s="59">
        <v>90</v>
      </c>
      <c r="L37" s="59">
        <v>90</v>
      </c>
      <c r="M37" s="5">
        <v>90</v>
      </c>
      <c r="N37" s="59">
        <v>90</v>
      </c>
    </row>
    <row r="38" spans="1:14" x14ac:dyDescent="0.2">
      <c r="D38" s="137">
        <v>6104</v>
      </c>
      <c r="E38" s="137">
        <v>6112</v>
      </c>
      <c r="F38" s="137">
        <v>6114</v>
      </c>
      <c r="G38" s="137">
        <v>6117</v>
      </c>
      <c r="H38" s="137">
        <v>6119</v>
      </c>
      <c r="I38" s="137">
        <v>6150</v>
      </c>
      <c r="J38" s="137">
        <v>6160</v>
      </c>
      <c r="K38" s="137">
        <v>6169</v>
      </c>
      <c r="L38" s="137">
        <v>6200</v>
      </c>
      <c r="M38" s="137">
        <v>6217</v>
      </c>
      <c r="N38" s="59">
        <f>SUM(N33:N37)</f>
        <v>6223</v>
      </c>
    </row>
    <row r="39" spans="1:14" x14ac:dyDescent="0.2">
      <c r="N39" s="48">
        <f>+N38-313</f>
        <v>5910</v>
      </c>
    </row>
    <row r="40" spans="1:14" x14ac:dyDescent="0.2">
      <c r="D40" s="48"/>
      <c r="E40" s="48"/>
      <c r="F40" s="48"/>
      <c r="G40" s="48"/>
      <c r="H40" s="48"/>
      <c r="I40" s="48"/>
      <c r="J40" s="48"/>
      <c r="K40" s="48"/>
      <c r="L40" s="48"/>
    </row>
    <row r="41" spans="1:14" x14ac:dyDescent="0.2">
      <c r="D41" s="48"/>
      <c r="E41" s="48"/>
      <c r="F41" s="48"/>
      <c r="G41" s="48"/>
      <c r="H41" s="48"/>
      <c r="I41" s="48"/>
      <c r="J41" s="48"/>
      <c r="K41" s="48"/>
      <c r="L41" s="48"/>
    </row>
    <row r="42" spans="1:14" x14ac:dyDescent="0.2">
      <c r="A42" s="139" t="s">
        <v>134</v>
      </c>
      <c r="D42" s="48"/>
      <c r="E42" s="48"/>
      <c r="F42" s="48"/>
      <c r="G42" s="48"/>
      <c r="H42" s="48"/>
      <c r="I42" s="48"/>
      <c r="J42" s="48"/>
      <c r="K42" s="48"/>
      <c r="L42" s="48"/>
    </row>
    <row r="43" spans="1:14" x14ac:dyDescent="0.2">
      <c r="D43" s="48"/>
      <c r="E43" s="48"/>
      <c r="F43" s="48"/>
      <c r="G43" s="48"/>
      <c r="H43" s="48"/>
      <c r="I43" s="48"/>
      <c r="J43" s="48"/>
      <c r="K43" s="48"/>
      <c r="L43" s="48"/>
    </row>
    <row r="44" spans="1:14" x14ac:dyDescent="0.2">
      <c r="D44" s="48"/>
      <c r="E44" s="48"/>
      <c r="G44" s="48"/>
      <c r="H44" s="48"/>
      <c r="I44" s="48"/>
      <c r="J44" s="48"/>
      <c r="K44" s="48"/>
      <c r="L44" s="48"/>
    </row>
    <row r="45" spans="1:14" x14ac:dyDescent="0.2">
      <c r="D45" s="48"/>
      <c r="E45" s="48"/>
      <c r="F45" s="48"/>
      <c r="G45" s="48"/>
      <c r="H45" s="48"/>
      <c r="I45" s="48"/>
      <c r="J45" s="48"/>
      <c r="K45" s="48"/>
      <c r="L45" s="48"/>
      <c r="M45" s="48"/>
    </row>
  </sheetData>
  <mergeCells count="24">
    <mergeCell ref="G15:K15"/>
    <mergeCell ref="G3:K3"/>
    <mergeCell ref="A6:C6"/>
    <mergeCell ref="A7:C7"/>
    <mergeCell ref="A8:C8"/>
    <mergeCell ref="A9:C9"/>
    <mergeCell ref="A10:C10"/>
    <mergeCell ref="A16:C16"/>
    <mergeCell ref="A17:C17"/>
    <mergeCell ref="A18:C18"/>
    <mergeCell ref="A19:C19"/>
    <mergeCell ref="A20:C20"/>
    <mergeCell ref="A28:C28"/>
    <mergeCell ref="G23:K23"/>
    <mergeCell ref="A24:C24"/>
    <mergeCell ref="A25:C25"/>
    <mergeCell ref="A26:C26"/>
    <mergeCell ref="A27:C27"/>
    <mergeCell ref="A35:C35"/>
    <mergeCell ref="A36:C36"/>
    <mergeCell ref="A37:C37"/>
    <mergeCell ref="G32:K32"/>
    <mergeCell ref="A33:C33"/>
    <mergeCell ref="A34:C3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8"/>
  <sheetViews>
    <sheetView topLeftCell="D34" workbookViewId="0">
      <selection activeCell="M45" sqref="M45"/>
    </sheetView>
  </sheetViews>
  <sheetFormatPr baseColWidth="10" defaultRowHeight="11.25" x14ac:dyDescent="0.2"/>
  <cols>
    <col min="1" max="1" width="11.42578125" style="8" hidden="1" customWidth="1"/>
    <col min="2" max="2" width="42.42578125" style="8" customWidth="1"/>
    <col min="3" max="3" width="11.42578125" style="8"/>
    <col min="4" max="4" width="13.42578125" style="8" bestFit="1" customWidth="1"/>
    <col min="5" max="6" width="11.42578125" style="8"/>
    <col min="7" max="7" width="12" style="8" customWidth="1"/>
    <col min="8" max="8" width="11.7109375" style="8" bestFit="1" customWidth="1"/>
    <col min="9" max="14" width="11.42578125" style="8"/>
    <col min="15" max="15" width="12.5703125" style="8" customWidth="1"/>
    <col min="16" max="16384" width="11.42578125" style="8"/>
  </cols>
  <sheetData>
    <row r="3" spans="2:19" x14ac:dyDescent="0.2">
      <c r="C3" s="148" t="s">
        <v>107</v>
      </c>
      <c r="D3" s="148"/>
      <c r="E3" s="148"/>
      <c r="F3" s="148"/>
      <c r="G3" s="148"/>
      <c r="H3" s="148"/>
      <c r="I3" s="148"/>
      <c r="J3" s="148"/>
    </row>
    <row r="5" spans="2:19" x14ac:dyDescent="0.2">
      <c r="B5" s="8">
        <v>2017</v>
      </c>
      <c r="C5" s="22" t="s">
        <v>0</v>
      </c>
      <c r="D5" s="23" t="s">
        <v>1</v>
      </c>
      <c r="E5" s="24" t="s">
        <v>2</v>
      </c>
      <c r="F5" s="25" t="s">
        <v>3</v>
      </c>
      <c r="G5" s="26" t="s">
        <v>4</v>
      </c>
      <c r="H5" s="27" t="s">
        <v>5</v>
      </c>
      <c r="I5" s="28" t="s">
        <v>43</v>
      </c>
      <c r="J5" s="29" t="s">
        <v>93</v>
      </c>
      <c r="K5" s="19" t="s">
        <v>99</v>
      </c>
      <c r="L5" s="19" t="s">
        <v>100</v>
      </c>
      <c r="M5" s="19" t="s">
        <v>101</v>
      </c>
      <c r="N5" s="19" t="s">
        <v>102</v>
      </c>
    </row>
    <row r="6" spans="2:19" x14ac:dyDescent="0.2">
      <c r="B6" s="30" t="s">
        <v>11</v>
      </c>
      <c r="C6" s="31">
        <v>1292</v>
      </c>
      <c r="D6" s="32">
        <v>1836</v>
      </c>
      <c r="E6" s="33">
        <v>1624</v>
      </c>
      <c r="F6" s="34">
        <v>1848</v>
      </c>
      <c r="G6" s="35">
        <v>1962</v>
      </c>
      <c r="H6" s="36">
        <v>1742</v>
      </c>
      <c r="I6" s="37">
        <v>2006</v>
      </c>
      <c r="J6" s="38">
        <v>1320</v>
      </c>
      <c r="K6" s="4">
        <v>1056</v>
      </c>
      <c r="L6" s="4">
        <v>1764</v>
      </c>
      <c r="M6" s="4"/>
      <c r="N6" s="20">
        <v>660</v>
      </c>
      <c r="O6" s="10">
        <f t="shared" ref="O6:O11" si="0">SUM(C6:N6)</f>
        <v>17110</v>
      </c>
      <c r="P6" s="8">
        <f>+O6/132</f>
        <v>129.62121212121212</v>
      </c>
    </row>
    <row r="7" spans="2:19" x14ac:dyDescent="0.2">
      <c r="B7" s="30" t="s">
        <v>19</v>
      </c>
      <c r="C7" s="31">
        <v>7232</v>
      </c>
      <c r="D7" s="32">
        <v>12916</v>
      </c>
      <c r="E7" s="33">
        <v>14115</v>
      </c>
      <c r="F7" s="34">
        <v>12189</v>
      </c>
      <c r="G7" s="35">
        <v>11739</v>
      </c>
      <c r="H7" s="36">
        <v>11445</v>
      </c>
      <c r="I7" s="37">
        <v>12451</v>
      </c>
      <c r="J7" s="38">
        <v>6658</v>
      </c>
      <c r="K7" s="4">
        <v>5856</v>
      </c>
      <c r="L7" s="4">
        <v>9348</v>
      </c>
      <c r="M7" s="4">
        <v>0</v>
      </c>
      <c r="N7" s="20">
        <v>3999</v>
      </c>
      <c r="O7" s="10">
        <f t="shared" si="0"/>
        <v>107948</v>
      </c>
    </row>
    <row r="8" spans="2:19" x14ac:dyDescent="0.2">
      <c r="B8" s="30" t="s">
        <v>85</v>
      </c>
      <c r="C8" s="31">
        <v>3611</v>
      </c>
      <c r="D8" s="32">
        <v>7019</v>
      </c>
      <c r="E8" s="33">
        <v>5638</v>
      </c>
      <c r="F8" s="34">
        <v>5610</v>
      </c>
      <c r="G8" s="35">
        <v>10191</v>
      </c>
      <c r="H8" s="36">
        <v>7379</v>
      </c>
      <c r="I8" s="37">
        <v>7212</v>
      </c>
      <c r="J8" s="38">
        <v>3562</v>
      </c>
      <c r="K8" s="4">
        <v>3407</v>
      </c>
      <c r="L8" s="4">
        <v>5702</v>
      </c>
      <c r="M8" s="4">
        <v>442</v>
      </c>
      <c r="N8" s="20">
        <v>2364</v>
      </c>
      <c r="O8" s="10">
        <f t="shared" si="0"/>
        <v>62137</v>
      </c>
    </row>
    <row r="9" spans="2:19" x14ac:dyDescent="0.2">
      <c r="B9" s="30" t="s">
        <v>82</v>
      </c>
      <c r="C9" s="31">
        <v>3472</v>
      </c>
      <c r="D9" s="32">
        <v>3677</v>
      </c>
      <c r="E9" s="33">
        <v>4991</v>
      </c>
      <c r="F9" s="34">
        <v>4911</v>
      </c>
      <c r="G9" s="35">
        <v>5262</v>
      </c>
      <c r="H9" s="36">
        <v>4568</v>
      </c>
      <c r="I9" s="37">
        <v>5794</v>
      </c>
      <c r="J9" s="38">
        <v>2934</v>
      </c>
      <c r="K9" s="4">
        <v>2256</v>
      </c>
      <c r="L9" s="4">
        <v>3496</v>
      </c>
      <c r="M9" s="4">
        <v>0</v>
      </c>
      <c r="N9" s="20">
        <v>1402</v>
      </c>
      <c r="O9" s="10">
        <f t="shared" si="0"/>
        <v>42763</v>
      </c>
    </row>
    <row r="10" spans="2:19" x14ac:dyDescent="0.2">
      <c r="B10" s="30" t="s">
        <v>83</v>
      </c>
      <c r="C10" s="31">
        <v>13650</v>
      </c>
      <c r="D10" s="32">
        <v>19278</v>
      </c>
      <c r="E10" s="33">
        <v>18539</v>
      </c>
      <c r="F10" s="34">
        <v>35076</v>
      </c>
      <c r="G10" s="35">
        <v>18910</v>
      </c>
      <c r="H10" s="36">
        <v>21838</v>
      </c>
      <c r="I10" s="37">
        <v>26625</v>
      </c>
      <c r="J10" s="38">
        <v>11630</v>
      </c>
      <c r="K10" s="4">
        <v>12149</v>
      </c>
      <c r="L10" s="4">
        <v>19766</v>
      </c>
      <c r="M10" s="4">
        <v>468</v>
      </c>
      <c r="N10" s="20">
        <v>6122</v>
      </c>
      <c r="O10" s="10">
        <f t="shared" si="0"/>
        <v>204051</v>
      </c>
    </row>
    <row r="11" spans="2:19" x14ac:dyDescent="0.2">
      <c r="B11" s="5" t="s">
        <v>88</v>
      </c>
      <c r="C11" s="39">
        <f t="shared" ref="C11:I11" si="1">SUM(C6:C10)</f>
        <v>29257</v>
      </c>
      <c r="D11" s="40">
        <f t="shared" si="1"/>
        <v>44726</v>
      </c>
      <c r="E11" s="41">
        <f t="shared" si="1"/>
        <v>44907</v>
      </c>
      <c r="F11" s="42">
        <f t="shared" si="1"/>
        <v>59634</v>
      </c>
      <c r="G11" s="43">
        <f t="shared" si="1"/>
        <v>48064</v>
      </c>
      <c r="H11" s="44">
        <f t="shared" si="1"/>
        <v>46972</v>
      </c>
      <c r="I11" s="45">
        <f t="shared" si="1"/>
        <v>54088</v>
      </c>
      <c r="J11" s="38">
        <f>SUM(J6:J10)</f>
        <v>26104</v>
      </c>
      <c r="K11" s="4">
        <f>SUM(K6:K10)</f>
        <v>24724</v>
      </c>
      <c r="L11" s="4">
        <f>SUM(L6:L10)</f>
        <v>40076</v>
      </c>
      <c r="M11" s="4">
        <f>SUM(M6:M10)</f>
        <v>910</v>
      </c>
      <c r="N11" s="11">
        <f>SUM(N6:N10)</f>
        <v>14547</v>
      </c>
      <c r="O11" s="10">
        <f t="shared" si="0"/>
        <v>434009</v>
      </c>
    </row>
    <row r="12" spans="2:19" x14ac:dyDescent="0.2">
      <c r="C12" s="48">
        <f>+C6/132</f>
        <v>9.7878787878787872</v>
      </c>
      <c r="D12" s="48">
        <f t="shared" ref="D12:N12" si="2">+D6/132</f>
        <v>13.909090909090908</v>
      </c>
      <c r="E12" s="48">
        <f t="shared" si="2"/>
        <v>12.303030303030303</v>
      </c>
      <c r="F12" s="48">
        <f t="shared" si="2"/>
        <v>14</v>
      </c>
      <c r="G12" s="48">
        <f t="shared" si="2"/>
        <v>14.863636363636363</v>
      </c>
      <c r="H12" s="48">
        <f t="shared" si="2"/>
        <v>13.196969696969697</v>
      </c>
      <c r="I12" s="48">
        <f t="shared" si="2"/>
        <v>15.196969696969697</v>
      </c>
      <c r="J12" s="48">
        <f t="shared" si="2"/>
        <v>10</v>
      </c>
      <c r="K12" s="48">
        <f t="shared" si="2"/>
        <v>8</v>
      </c>
      <c r="L12" s="48">
        <f t="shared" si="2"/>
        <v>13.363636363636363</v>
      </c>
      <c r="M12" s="48">
        <f t="shared" si="2"/>
        <v>0</v>
      </c>
      <c r="N12" s="48">
        <f t="shared" si="2"/>
        <v>5</v>
      </c>
      <c r="O12" s="48">
        <f>SUM(C12:N12)</f>
        <v>129.62121212121212</v>
      </c>
      <c r="P12" s="8">
        <f>+O12*4</f>
        <v>518.4848484848485</v>
      </c>
      <c r="Q12" s="8">
        <f>+P12*86.94</f>
        <v>45077.072727272731</v>
      </c>
      <c r="R12" s="8">
        <f>+Q12/1000</f>
        <v>45.077072727272729</v>
      </c>
      <c r="S12" s="8">
        <f>+R12*12</f>
        <v>540.92487272727271</v>
      </c>
    </row>
    <row r="13" spans="2:19" x14ac:dyDescent="0.2">
      <c r="G13" s="8" t="s">
        <v>111</v>
      </c>
    </row>
    <row r="14" spans="2:19" x14ac:dyDescent="0.2">
      <c r="C14" s="22" t="s">
        <v>0</v>
      </c>
      <c r="D14" s="23" t="s">
        <v>1</v>
      </c>
      <c r="E14" s="24" t="s">
        <v>2</v>
      </c>
      <c r="F14" s="25" t="s">
        <v>3</v>
      </c>
      <c r="G14" s="26" t="s">
        <v>4</v>
      </c>
      <c r="H14" s="27" t="s">
        <v>5</v>
      </c>
      <c r="I14" s="28" t="s">
        <v>43</v>
      </c>
      <c r="J14" s="29" t="s">
        <v>93</v>
      </c>
      <c r="K14" s="19" t="s">
        <v>99</v>
      </c>
      <c r="L14" s="19" t="s">
        <v>100</v>
      </c>
      <c r="M14" s="19" t="s">
        <v>101</v>
      </c>
      <c r="N14" s="19" t="s">
        <v>102</v>
      </c>
    </row>
    <row r="15" spans="2:19" x14ac:dyDescent="0.2">
      <c r="B15" s="5" t="s">
        <v>86</v>
      </c>
      <c r="C15" s="4">
        <v>260</v>
      </c>
      <c r="D15" s="4">
        <v>1448</v>
      </c>
      <c r="E15" s="4">
        <v>799</v>
      </c>
      <c r="F15" s="4">
        <v>1188</v>
      </c>
      <c r="G15" s="4">
        <v>220</v>
      </c>
      <c r="H15" s="4">
        <v>561</v>
      </c>
      <c r="I15" s="4">
        <v>792</v>
      </c>
      <c r="J15" s="20">
        <v>660</v>
      </c>
      <c r="K15" s="4">
        <v>792</v>
      </c>
      <c r="L15" s="20">
        <v>392</v>
      </c>
      <c r="M15" s="20">
        <v>0</v>
      </c>
      <c r="N15" s="20">
        <v>264</v>
      </c>
    </row>
    <row r="16" spans="2:19" x14ac:dyDescent="0.2">
      <c r="B16" s="5" t="s">
        <v>84</v>
      </c>
      <c r="C16" s="4">
        <v>955</v>
      </c>
      <c r="D16" s="4">
        <v>1952</v>
      </c>
      <c r="E16" s="4">
        <v>1477</v>
      </c>
      <c r="F16" s="4">
        <v>2084</v>
      </c>
      <c r="G16" s="4">
        <v>880</v>
      </c>
      <c r="H16" s="4">
        <v>1037</v>
      </c>
      <c r="I16" s="4">
        <v>1464</v>
      </c>
      <c r="J16" s="20">
        <v>1464</v>
      </c>
      <c r="K16" s="4">
        <v>1464</v>
      </c>
      <c r="L16" s="20">
        <v>725</v>
      </c>
      <c r="M16" s="20">
        <v>0</v>
      </c>
      <c r="N16" s="20">
        <v>488</v>
      </c>
    </row>
    <row r="17" spans="2:19" x14ac:dyDescent="0.2">
      <c r="B17" s="5" t="s">
        <v>87</v>
      </c>
      <c r="C17" s="11">
        <f t="shared" ref="C17:I17" si="3">SUM(C15:C16)</f>
        <v>1215</v>
      </c>
      <c r="D17" s="11">
        <f t="shared" si="3"/>
        <v>3400</v>
      </c>
      <c r="E17" s="11">
        <f t="shared" si="3"/>
        <v>2276</v>
      </c>
      <c r="F17" s="11">
        <f t="shared" si="3"/>
        <v>3272</v>
      </c>
      <c r="G17" s="11">
        <f t="shared" si="3"/>
        <v>1100</v>
      </c>
      <c r="H17" s="11">
        <f t="shared" si="3"/>
        <v>1598</v>
      </c>
      <c r="I17" s="11">
        <f t="shared" si="3"/>
        <v>2256</v>
      </c>
      <c r="J17" s="11">
        <f>SUM(J15:J16)</f>
        <v>2124</v>
      </c>
      <c r="K17" s="20">
        <f>SUM(K15:K16)</f>
        <v>2256</v>
      </c>
      <c r="L17" s="11">
        <f>SUM(L15:L16)</f>
        <v>1117</v>
      </c>
      <c r="M17" s="11">
        <f>SUM(M15:M16)</f>
        <v>0</v>
      </c>
      <c r="N17" s="11">
        <f>SUM(N15:N16)</f>
        <v>752</v>
      </c>
    </row>
    <row r="18" spans="2:19" x14ac:dyDescent="0.2">
      <c r="C18" s="48">
        <f>+C15/132</f>
        <v>1.9696969696969697</v>
      </c>
      <c r="D18" s="48">
        <f t="shared" ref="D18:N18" si="4">+D15/132</f>
        <v>10.969696969696969</v>
      </c>
      <c r="E18" s="48">
        <f t="shared" si="4"/>
        <v>6.0530303030303028</v>
      </c>
      <c r="F18" s="48">
        <f t="shared" si="4"/>
        <v>9</v>
      </c>
      <c r="G18" s="48">
        <f t="shared" si="4"/>
        <v>1.6666666666666667</v>
      </c>
      <c r="H18" s="48">
        <f t="shared" si="4"/>
        <v>4.25</v>
      </c>
      <c r="I18" s="48">
        <f t="shared" si="4"/>
        <v>6</v>
      </c>
      <c r="J18" s="48">
        <f t="shared" si="4"/>
        <v>5</v>
      </c>
      <c r="K18" s="48">
        <f t="shared" si="4"/>
        <v>6</v>
      </c>
      <c r="L18" s="48">
        <f t="shared" si="4"/>
        <v>2.9696969696969697</v>
      </c>
      <c r="M18" s="48">
        <f t="shared" si="4"/>
        <v>0</v>
      </c>
      <c r="N18" s="48">
        <f t="shared" si="4"/>
        <v>2</v>
      </c>
      <c r="O18" s="48">
        <f>SUM(C18:N18)</f>
        <v>55.878787878787875</v>
      </c>
    </row>
    <row r="20" spans="2:19" x14ac:dyDescent="0.2">
      <c r="C20" s="21"/>
      <c r="D20" s="21"/>
      <c r="E20" s="21"/>
      <c r="F20" s="21"/>
      <c r="G20" s="21"/>
      <c r="H20" s="21"/>
      <c r="I20" s="21"/>
      <c r="J20" s="21"/>
    </row>
    <row r="21" spans="2:19" x14ac:dyDescent="0.2">
      <c r="H21" s="8" t="s">
        <v>108</v>
      </c>
    </row>
    <row r="22" spans="2:19" x14ac:dyDescent="0.2">
      <c r="B22" s="8">
        <v>2018</v>
      </c>
      <c r="C22" s="22" t="s">
        <v>0</v>
      </c>
      <c r="D22" s="23" t="s">
        <v>1</v>
      </c>
      <c r="E22" s="24" t="s">
        <v>2</v>
      </c>
      <c r="F22" s="25" t="s">
        <v>3</v>
      </c>
      <c r="G22" s="26" t="s">
        <v>4</v>
      </c>
      <c r="H22" s="27" t="s">
        <v>5</v>
      </c>
      <c r="I22" s="28" t="s">
        <v>43</v>
      </c>
      <c r="J22" s="29" t="s">
        <v>93</v>
      </c>
      <c r="K22" s="19" t="s">
        <v>99</v>
      </c>
      <c r="L22" s="19" t="s">
        <v>100</v>
      </c>
      <c r="M22" s="19" t="s">
        <v>101</v>
      </c>
      <c r="N22" s="19" t="s">
        <v>102</v>
      </c>
    </row>
    <row r="23" spans="2:19" x14ac:dyDescent="0.2">
      <c r="B23" s="30" t="s">
        <v>11</v>
      </c>
      <c r="C23" s="31">
        <v>1496</v>
      </c>
      <c r="D23" s="32">
        <v>1915</v>
      </c>
      <c r="E23" s="33">
        <v>1224</v>
      </c>
      <c r="F23" s="34">
        <v>2176</v>
      </c>
      <c r="G23" s="35">
        <v>2818</v>
      </c>
      <c r="H23" s="36">
        <v>680</v>
      </c>
      <c r="I23" s="37">
        <v>2856</v>
      </c>
      <c r="J23" s="38">
        <v>2992</v>
      </c>
      <c r="K23" s="4">
        <v>408</v>
      </c>
      <c r="L23" s="4">
        <v>2024</v>
      </c>
      <c r="M23" s="100">
        <v>1536</v>
      </c>
      <c r="N23" s="6">
        <v>1056</v>
      </c>
    </row>
    <row r="24" spans="2:19" x14ac:dyDescent="0.2">
      <c r="B24" s="30" t="s">
        <v>19</v>
      </c>
      <c r="C24" s="31">
        <v>7540</v>
      </c>
      <c r="D24" s="32">
        <v>10505</v>
      </c>
      <c r="E24" s="33">
        <v>6786</v>
      </c>
      <c r="F24" s="34">
        <v>12064</v>
      </c>
      <c r="G24" s="35">
        <v>15834</v>
      </c>
      <c r="H24" s="36">
        <v>3770</v>
      </c>
      <c r="I24" s="37">
        <v>15834</v>
      </c>
      <c r="J24" s="38">
        <v>16545</v>
      </c>
      <c r="K24" s="4">
        <v>2262</v>
      </c>
      <c r="L24" s="4">
        <v>9029</v>
      </c>
      <c r="M24" s="4">
        <v>8256</v>
      </c>
      <c r="N24" s="6">
        <v>6652</v>
      </c>
    </row>
    <row r="25" spans="2:19" x14ac:dyDescent="0.2">
      <c r="B25" s="30" t="s">
        <v>85</v>
      </c>
      <c r="C25" s="31">
        <v>5324</v>
      </c>
      <c r="D25" s="32">
        <v>7160</v>
      </c>
      <c r="E25" s="33">
        <v>3872</v>
      </c>
      <c r="F25" s="34">
        <v>8712</v>
      </c>
      <c r="G25" s="35">
        <v>10648</v>
      </c>
      <c r="H25" s="36">
        <v>2420</v>
      </c>
      <c r="I25" s="37">
        <v>10064</v>
      </c>
      <c r="J25" s="38">
        <v>11416</v>
      </c>
      <c r="K25" s="4">
        <v>1936</v>
      </c>
      <c r="L25" s="4">
        <v>5808</v>
      </c>
      <c r="M25" s="6">
        <v>4578</v>
      </c>
      <c r="N25" s="6">
        <v>4163</v>
      </c>
    </row>
    <row r="26" spans="2:19" x14ac:dyDescent="0.2">
      <c r="B26" s="30" t="s">
        <v>82</v>
      </c>
      <c r="C26" s="31">
        <v>3201</v>
      </c>
      <c r="D26" s="32">
        <v>4348</v>
      </c>
      <c r="E26" s="33">
        <v>3201</v>
      </c>
      <c r="F26" s="34">
        <v>4947</v>
      </c>
      <c r="G26" s="35">
        <v>6402</v>
      </c>
      <c r="H26" s="36">
        <v>2328</v>
      </c>
      <c r="I26" s="37">
        <v>6111</v>
      </c>
      <c r="J26" s="38">
        <v>6967</v>
      </c>
      <c r="K26" s="4">
        <v>1455</v>
      </c>
      <c r="L26" s="4">
        <v>3184</v>
      </c>
      <c r="M26" s="6">
        <v>2941</v>
      </c>
      <c r="N26" s="6">
        <v>2696</v>
      </c>
    </row>
    <row r="27" spans="2:19" x14ac:dyDescent="0.2">
      <c r="B27" s="30" t="s">
        <v>83</v>
      </c>
      <c r="C27" s="31">
        <v>9944</v>
      </c>
      <c r="D27" s="32">
        <v>19571</v>
      </c>
      <c r="E27" s="33">
        <v>12068</v>
      </c>
      <c r="F27" s="34">
        <v>20388</v>
      </c>
      <c r="G27" s="35">
        <v>31694</v>
      </c>
      <c r="H27" s="36">
        <v>6978</v>
      </c>
      <c r="I27" s="37">
        <v>24848</v>
      </c>
      <c r="J27" s="38">
        <v>37750</v>
      </c>
      <c r="K27" s="4">
        <v>3600</v>
      </c>
      <c r="L27" s="4">
        <v>16902</v>
      </c>
      <c r="M27" s="6">
        <v>14744</v>
      </c>
      <c r="N27" s="6">
        <v>9333</v>
      </c>
    </row>
    <row r="28" spans="2:19" x14ac:dyDescent="0.2">
      <c r="B28" s="5" t="s">
        <v>88</v>
      </c>
      <c r="C28" s="39">
        <f t="shared" ref="C28:H28" si="5">SUM(C23:C27)</f>
        <v>27505</v>
      </c>
      <c r="D28" s="40">
        <f t="shared" si="5"/>
        <v>43499</v>
      </c>
      <c r="E28" s="41">
        <f t="shared" si="5"/>
        <v>27151</v>
      </c>
      <c r="F28" s="42">
        <f t="shared" si="5"/>
        <v>48287</v>
      </c>
      <c r="G28" s="43">
        <f t="shared" si="5"/>
        <v>67396</v>
      </c>
      <c r="H28" s="44">
        <f t="shared" si="5"/>
        <v>16176</v>
      </c>
      <c r="I28" s="45">
        <f t="shared" ref="I28:N28" si="6">SUM(I23:I27)</f>
        <v>59713</v>
      </c>
      <c r="J28" s="38">
        <f t="shared" si="6"/>
        <v>75670</v>
      </c>
      <c r="K28" s="4">
        <f t="shared" si="6"/>
        <v>9661</v>
      </c>
      <c r="L28" s="4">
        <f t="shared" si="6"/>
        <v>36947</v>
      </c>
      <c r="M28" s="4">
        <f t="shared" si="6"/>
        <v>32055</v>
      </c>
      <c r="N28" s="47">
        <f t="shared" si="6"/>
        <v>23900</v>
      </c>
    </row>
    <row r="29" spans="2:19" x14ac:dyDescent="0.2">
      <c r="C29" s="8">
        <f>+C23/136</f>
        <v>11</v>
      </c>
      <c r="D29" s="48">
        <f t="shared" ref="D29:K29" si="7">+D23/136</f>
        <v>14.080882352941176</v>
      </c>
      <c r="E29" s="8">
        <f t="shared" si="7"/>
        <v>9</v>
      </c>
      <c r="F29" s="8">
        <f t="shared" si="7"/>
        <v>16</v>
      </c>
      <c r="G29" s="48">
        <f t="shared" si="7"/>
        <v>20.720588235294116</v>
      </c>
      <c r="H29" s="8">
        <f t="shared" si="7"/>
        <v>5</v>
      </c>
      <c r="I29" s="8">
        <v>21</v>
      </c>
      <c r="J29" s="8">
        <f>+J23/136</f>
        <v>22</v>
      </c>
      <c r="K29" s="8">
        <f t="shared" si="7"/>
        <v>3</v>
      </c>
      <c r="L29" s="8">
        <v>15</v>
      </c>
      <c r="M29" s="8">
        <v>7</v>
      </c>
      <c r="N29" s="8">
        <v>8</v>
      </c>
      <c r="O29" s="8">
        <v>156</v>
      </c>
      <c r="P29" s="8">
        <f>+O29*4</f>
        <v>624</v>
      </c>
      <c r="Q29" s="8">
        <f>+P29*86.94</f>
        <v>54250.559999999998</v>
      </c>
      <c r="R29" s="8">
        <f>+Q29/1000</f>
        <v>54.25056</v>
      </c>
      <c r="S29" s="8">
        <f>+R29*12</f>
        <v>651.00671999999997</v>
      </c>
    </row>
    <row r="30" spans="2:19" x14ac:dyDescent="0.2">
      <c r="G30" s="8" t="s">
        <v>109</v>
      </c>
    </row>
    <row r="31" spans="2:19" x14ac:dyDescent="0.2">
      <c r="C31" s="22" t="s">
        <v>0</v>
      </c>
      <c r="D31" s="23" t="s">
        <v>1</v>
      </c>
      <c r="E31" s="24" t="s">
        <v>2</v>
      </c>
      <c r="F31" s="25" t="s">
        <v>3</v>
      </c>
      <c r="G31" s="26" t="s">
        <v>4</v>
      </c>
      <c r="H31" s="27" t="s">
        <v>5</v>
      </c>
      <c r="I31" s="28" t="s">
        <v>43</v>
      </c>
      <c r="J31" s="29" t="s">
        <v>93</v>
      </c>
      <c r="K31" s="19" t="s">
        <v>99</v>
      </c>
      <c r="L31" s="19" t="s">
        <v>100</v>
      </c>
      <c r="M31" s="19" t="s">
        <v>101</v>
      </c>
      <c r="N31" s="19" t="s">
        <v>102</v>
      </c>
    </row>
    <row r="32" spans="2:19" x14ac:dyDescent="0.2">
      <c r="B32" s="5" t="s">
        <v>86</v>
      </c>
      <c r="C32" s="4">
        <v>1224</v>
      </c>
      <c r="D32" s="4">
        <v>1088</v>
      </c>
      <c r="E32" s="4">
        <v>544</v>
      </c>
      <c r="F32" s="4">
        <v>952</v>
      </c>
      <c r="G32" s="4">
        <v>680</v>
      </c>
      <c r="H32" s="4">
        <v>1224</v>
      </c>
      <c r="I32" s="4">
        <v>680</v>
      </c>
      <c r="J32" s="4">
        <v>1496</v>
      </c>
      <c r="K32" s="4">
        <v>1088</v>
      </c>
      <c r="L32" s="4">
        <v>2032</v>
      </c>
      <c r="M32" s="4">
        <v>2077</v>
      </c>
      <c r="N32" s="4">
        <v>272</v>
      </c>
    </row>
    <row r="33" spans="2:19" x14ac:dyDescent="0.2">
      <c r="B33" s="5" t="s">
        <v>84</v>
      </c>
      <c r="C33" s="4">
        <v>2259</v>
      </c>
      <c r="D33" s="4">
        <v>2008</v>
      </c>
      <c r="E33" s="4">
        <v>1004</v>
      </c>
      <c r="F33" s="4">
        <v>1757</v>
      </c>
      <c r="G33" s="4">
        <v>1255</v>
      </c>
      <c r="H33" s="4">
        <v>2559</v>
      </c>
      <c r="I33" s="4">
        <v>1255</v>
      </c>
      <c r="J33" s="4">
        <v>3486</v>
      </c>
      <c r="K33" s="4">
        <v>2008</v>
      </c>
      <c r="L33" s="4">
        <v>3765</v>
      </c>
      <c r="M33" s="4">
        <v>3598</v>
      </c>
      <c r="N33" s="4">
        <v>753</v>
      </c>
    </row>
    <row r="34" spans="2:19" x14ac:dyDescent="0.2">
      <c r="B34" s="5" t="s">
        <v>87</v>
      </c>
      <c r="C34" s="11">
        <f t="shared" ref="C34:H34" si="8">SUM(C32:C33)</f>
        <v>3483</v>
      </c>
      <c r="D34" s="11">
        <f t="shared" si="8"/>
        <v>3096</v>
      </c>
      <c r="E34" s="11">
        <f t="shared" si="8"/>
        <v>1548</v>
      </c>
      <c r="F34" s="11">
        <f t="shared" si="8"/>
        <v>2709</v>
      </c>
      <c r="G34" s="11">
        <f t="shared" si="8"/>
        <v>1935</v>
      </c>
      <c r="H34" s="11">
        <f t="shared" si="8"/>
        <v>3783</v>
      </c>
      <c r="I34" s="11">
        <f t="shared" ref="I34:N34" si="9">SUM(I32:I33)</f>
        <v>1935</v>
      </c>
      <c r="J34" s="11">
        <f t="shared" si="9"/>
        <v>4982</v>
      </c>
      <c r="K34" s="11">
        <f t="shared" si="9"/>
        <v>3096</v>
      </c>
      <c r="L34" s="11">
        <f t="shared" si="9"/>
        <v>5797</v>
      </c>
      <c r="M34" s="11">
        <f t="shared" si="9"/>
        <v>5675</v>
      </c>
      <c r="N34" s="11">
        <f t="shared" si="9"/>
        <v>1025</v>
      </c>
      <c r="R34" s="8">
        <f>130+96</f>
        <v>226</v>
      </c>
    </row>
    <row r="35" spans="2:19" x14ac:dyDescent="0.2">
      <c r="C35" s="8">
        <f t="shared" ref="C35:H35" si="10">+C32/136</f>
        <v>9</v>
      </c>
      <c r="D35" s="8">
        <f t="shared" si="10"/>
        <v>8</v>
      </c>
      <c r="E35" s="8">
        <f t="shared" si="10"/>
        <v>4</v>
      </c>
      <c r="F35" s="8">
        <f t="shared" si="10"/>
        <v>7</v>
      </c>
      <c r="G35" s="8">
        <f t="shared" si="10"/>
        <v>5</v>
      </c>
      <c r="H35" s="8">
        <f t="shared" si="10"/>
        <v>9</v>
      </c>
      <c r="I35" s="8">
        <v>3</v>
      </c>
      <c r="J35" s="8">
        <f>+J32/136</f>
        <v>11</v>
      </c>
      <c r="K35" s="8">
        <f>+K32/136</f>
        <v>8</v>
      </c>
      <c r="L35" s="8">
        <v>15</v>
      </c>
      <c r="M35" s="8">
        <v>15</v>
      </c>
      <c r="N35" s="8">
        <f>+N32/136</f>
        <v>2</v>
      </c>
      <c r="O35" s="8">
        <f>SUM(C35:N35)</f>
        <v>96</v>
      </c>
      <c r="R35" s="8">
        <f>+R34/2</f>
        <v>113</v>
      </c>
      <c r="S35" s="8">
        <f>+R35*4</f>
        <v>452</v>
      </c>
    </row>
    <row r="38" spans="2:19" x14ac:dyDescent="0.2">
      <c r="H38" s="8" t="s">
        <v>128</v>
      </c>
    </row>
    <row r="39" spans="2:19" x14ac:dyDescent="0.2">
      <c r="B39" s="8">
        <v>2019</v>
      </c>
      <c r="C39" s="22" t="s">
        <v>0</v>
      </c>
      <c r="D39" s="23" t="s">
        <v>1</v>
      </c>
      <c r="E39" s="24" t="s">
        <v>2</v>
      </c>
      <c r="F39" s="25" t="s">
        <v>3</v>
      </c>
      <c r="G39" s="26" t="s">
        <v>4</v>
      </c>
      <c r="H39" s="27" t="s">
        <v>5</v>
      </c>
      <c r="I39" s="28" t="s">
        <v>43</v>
      </c>
      <c r="J39" s="29" t="s">
        <v>93</v>
      </c>
      <c r="K39" s="19" t="s">
        <v>99</v>
      </c>
      <c r="L39" s="19" t="s">
        <v>100</v>
      </c>
      <c r="M39" s="19" t="s">
        <v>101</v>
      </c>
      <c r="N39" s="19" t="s">
        <v>102</v>
      </c>
    </row>
    <row r="40" spans="2:19" x14ac:dyDescent="0.2">
      <c r="B40" s="103" t="s">
        <v>11</v>
      </c>
      <c r="C40" s="31">
        <v>1722</v>
      </c>
      <c r="D40" s="32">
        <v>2228</v>
      </c>
      <c r="E40" s="33">
        <v>746</v>
      </c>
      <c r="F40" s="34">
        <v>2580</v>
      </c>
      <c r="G40" s="35">
        <v>2977</v>
      </c>
      <c r="H40" s="36">
        <v>1179</v>
      </c>
      <c r="I40" s="37">
        <v>1045</v>
      </c>
      <c r="J40" s="38">
        <v>2247</v>
      </c>
      <c r="K40" s="4">
        <v>3343.28</v>
      </c>
      <c r="L40" s="4">
        <v>2015.95</v>
      </c>
      <c r="M40" s="105">
        <v>1385.4</v>
      </c>
      <c r="N40" s="46"/>
    </row>
    <row r="41" spans="2:19" x14ac:dyDescent="0.2">
      <c r="B41" s="103" t="s">
        <v>19</v>
      </c>
      <c r="C41" s="31">
        <v>10058</v>
      </c>
      <c r="D41" s="32">
        <v>11979</v>
      </c>
      <c r="E41" s="33">
        <v>5516</v>
      </c>
      <c r="F41" s="34">
        <v>9072</v>
      </c>
      <c r="G41" s="35">
        <v>13953</v>
      </c>
      <c r="H41" s="36">
        <v>5942</v>
      </c>
      <c r="I41" s="37">
        <v>7220</v>
      </c>
      <c r="J41" s="38">
        <v>13232</v>
      </c>
      <c r="K41" s="4">
        <v>18194.810000000001</v>
      </c>
      <c r="L41" s="4">
        <v>11196.88</v>
      </c>
      <c r="M41" s="4">
        <v>7759.11</v>
      </c>
      <c r="N41" s="46"/>
    </row>
    <row r="42" spans="2:19" x14ac:dyDescent="0.2">
      <c r="B42" s="103" t="s">
        <v>85</v>
      </c>
      <c r="C42" s="31">
        <v>6527</v>
      </c>
      <c r="D42" s="32">
        <v>7134</v>
      </c>
      <c r="E42" s="33">
        <v>3086</v>
      </c>
      <c r="F42" s="34">
        <v>7176</v>
      </c>
      <c r="G42" s="35">
        <v>8485</v>
      </c>
      <c r="H42" s="36">
        <v>4088</v>
      </c>
      <c r="I42" s="37">
        <v>5357</v>
      </c>
      <c r="J42" s="38">
        <v>9773</v>
      </c>
      <c r="K42" s="4">
        <v>12311.16</v>
      </c>
      <c r="L42" s="4">
        <v>7056.75</v>
      </c>
      <c r="M42" s="46">
        <v>4925.25</v>
      </c>
      <c r="N42" s="46"/>
    </row>
    <row r="43" spans="2:19" x14ac:dyDescent="0.2">
      <c r="B43" s="103" t="s">
        <v>82</v>
      </c>
      <c r="C43" s="31">
        <v>4066</v>
      </c>
      <c r="D43" s="32">
        <v>4673</v>
      </c>
      <c r="E43" s="33">
        <v>2082</v>
      </c>
      <c r="F43" s="34">
        <v>5633</v>
      </c>
      <c r="G43" s="35">
        <v>8209</v>
      </c>
      <c r="H43" s="36">
        <v>3133</v>
      </c>
      <c r="I43" s="37">
        <v>3723</v>
      </c>
      <c r="J43" s="38">
        <v>5180</v>
      </c>
      <c r="K43" s="4">
        <v>7261.91</v>
      </c>
      <c r="L43" s="4">
        <v>4712.17</v>
      </c>
      <c r="M43" s="46">
        <v>3438.5</v>
      </c>
      <c r="N43" s="46"/>
    </row>
    <row r="44" spans="2:19" x14ac:dyDescent="0.2">
      <c r="B44" s="103" t="s">
        <v>83</v>
      </c>
      <c r="C44" s="31">
        <v>13537</v>
      </c>
      <c r="D44" s="32">
        <v>13094</v>
      </c>
      <c r="E44" s="33">
        <v>8580</v>
      </c>
      <c r="F44" s="34">
        <v>15716</v>
      </c>
      <c r="G44" s="35">
        <v>17391</v>
      </c>
      <c r="H44" s="36">
        <v>11065</v>
      </c>
      <c r="I44" s="37">
        <v>11183</v>
      </c>
      <c r="J44" s="38">
        <v>17561</v>
      </c>
      <c r="K44" s="4">
        <v>26811.64</v>
      </c>
      <c r="L44" s="4">
        <v>16807.18</v>
      </c>
      <c r="M44" s="46">
        <v>13302.06</v>
      </c>
      <c r="N44" s="46"/>
      <c r="O44" s="48">
        <f>SUM(C29:N29)</f>
        <v>151.8014705882353</v>
      </c>
    </row>
    <row r="45" spans="2:19" x14ac:dyDescent="0.2">
      <c r="B45" s="5" t="s">
        <v>88</v>
      </c>
      <c r="C45" s="39">
        <f t="shared" ref="C45:N45" si="11">SUM(C40:C44)</f>
        <v>35910</v>
      </c>
      <c r="D45" s="40">
        <f t="shared" si="11"/>
        <v>39108</v>
      </c>
      <c r="E45" s="41">
        <f t="shared" si="11"/>
        <v>20010</v>
      </c>
      <c r="F45" s="42">
        <f t="shared" si="11"/>
        <v>40177</v>
      </c>
      <c r="G45" s="43">
        <f t="shared" si="11"/>
        <v>51015</v>
      </c>
      <c r="H45" s="44">
        <f t="shared" si="11"/>
        <v>25407</v>
      </c>
      <c r="I45" s="45">
        <f t="shared" si="11"/>
        <v>28528</v>
      </c>
      <c r="J45" s="38">
        <f t="shared" si="11"/>
        <v>47993</v>
      </c>
      <c r="K45" s="4">
        <f t="shared" si="11"/>
        <v>67922.8</v>
      </c>
      <c r="L45" s="4">
        <f t="shared" si="11"/>
        <v>41788.93</v>
      </c>
      <c r="M45" s="4">
        <f t="shared" si="11"/>
        <v>30810.32</v>
      </c>
      <c r="N45" s="47">
        <f t="shared" si="11"/>
        <v>0</v>
      </c>
    </row>
    <row r="46" spans="2:19" x14ac:dyDescent="0.2">
      <c r="C46" s="8">
        <v>12</v>
      </c>
      <c r="D46" s="8">
        <v>16</v>
      </c>
      <c r="E46" s="8">
        <v>5</v>
      </c>
      <c r="F46" s="8">
        <v>18</v>
      </c>
      <c r="G46" s="8">
        <v>21</v>
      </c>
      <c r="H46" s="8">
        <v>8</v>
      </c>
      <c r="I46" s="8">
        <v>7</v>
      </c>
      <c r="J46" s="8">
        <v>16</v>
      </c>
      <c r="K46" s="8">
        <v>24</v>
      </c>
      <c r="L46" s="8">
        <v>13</v>
      </c>
      <c r="M46" s="8">
        <v>10</v>
      </c>
      <c r="N46" s="8">
        <f t="shared" ref="N46" si="12">+N40/141</f>
        <v>0</v>
      </c>
      <c r="O46" s="8">
        <v>92</v>
      </c>
    </row>
    <row r="47" spans="2:19" x14ac:dyDescent="0.2">
      <c r="G47" s="8" t="s">
        <v>129</v>
      </c>
    </row>
    <row r="48" spans="2:19" x14ac:dyDescent="0.2">
      <c r="C48" s="22" t="s">
        <v>0</v>
      </c>
      <c r="D48" s="23" t="s">
        <v>1</v>
      </c>
      <c r="E48" s="24" t="s">
        <v>2</v>
      </c>
      <c r="F48" s="25" t="s">
        <v>3</v>
      </c>
      <c r="G48" s="26" t="s">
        <v>4</v>
      </c>
      <c r="H48" s="27" t="s">
        <v>5</v>
      </c>
      <c r="I48" s="28" t="s">
        <v>43</v>
      </c>
      <c r="J48" s="29" t="s">
        <v>93</v>
      </c>
      <c r="K48" s="19" t="s">
        <v>99</v>
      </c>
      <c r="L48" s="19" t="s">
        <v>100</v>
      </c>
      <c r="M48" s="19" t="s">
        <v>101</v>
      </c>
      <c r="N48" s="19" t="s">
        <v>102</v>
      </c>
    </row>
    <row r="49" spans="2:15" x14ac:dyDescent="0.2">
      <c r="B49" s="5" t="s">
        <v>86</v>
      </c>
      <c r="C49" s="4">
        <v>1601</v>
      </c>
      <c r="D49" s="4">
        <v>1538</v>
      </c>
      <c r="E49" s="4">
        <v>1289</v>
      </c>
      <c r="F49" s="4">
        <v>751</v>
      </c>
      <c r="G49" s="4">
        <v>1058</v>
      </c>
      <c r="H49" s="4">
        <v>312</v>
      </c>
      <c r="I49" s="4">
        <v>775</v>
      </c>
      <c r="J49" s="4">
        <v>1198</v>
      </c>
      <c r="K49" s="4">
        <v>861.74</v>
      </c>
      <c r="L49" s="4">
        <v>1537.01</v>
      </c>
      <c r="M49" s="4">
        <v>988.55</v>
      </c>
      <c r="N49" s="4"/>
    </row>
    <row r="50" spans="2:15" x14ac:dyDescent="0.2">
      <c r="B50" s="5" t="s">
        <v>84</v>
      </c>
      <c r="C50" s="4">
        <v>2963</v>
      </c>
      <c r="D50" s="4">
        <v>2752</v>
      </c>
      <c r="E50" s="4">
        <v>2134</v>
      </c>
      <c r="F50" s="4">
        <v>1500</v>
      </c>
      <c r="G50" s="4">
        <v>2013</v>
      </c>
      <c r="H50" s="4">
        <v>773</v>
      </c>
      <c r="I50" s="4">
        <v>1435</v>
      </c>
      <c r="J50" s="4">
        <v>1957</v>
      </c>
      <c r="K50" s="4">
        <v>1853.28</v>
      </c>
      <c r="L50" s="4">
        <v>2843.19</v>
      </c>
      <c r="M50" s="4">
        <v>1830.03</v>
      </c>
      <c r="N50" s="4"/>
      <c r="O50" s="8">
        <f>SUM(C35:N35)</f>
        <v>96</v>
      </c>
    </row>
    <row r="51" spans="2:15" x14ac:dyDescent="0.2">
      <c r="B51" s="5" t="s">
        <v>87</v>
      </c>
      <c r="C51" s="11">
        <f t="shared" ref="C51:N51" si="13">SUM(C49:C50)</f>
        <v>4564</v>
      </c>
      <c r="D51" s="11">
        <f t="shared" si="13"/>
        <v>4290</v>
      </c>
      <c r="E51" s="11">
        <f t="shared" si="13"/>
        <v>3423</v>
      </c>
      <c r="F51" s="11">
        <f t="shared" si="13"/>
        <v>2251</v>
      </c>
      <c r="G51" s="11">
        <f t="shared" si="13"/>
        <v>3071</v>
      </c>
      <c r="H51" s="11">
        <f t="shared" si="13"/>
        <v>1085</v>
      </c>
      <c r="I51" s="11">
        <f t="shared" si="13"/>
        <v>2210</v>
      </c>
      <c r="J51" s="11">
        <f t="shared" si="13"/>
        <v>3155</v>
      </c>
      <c r="K51" s="11">
        <f t="shared" si="13"/>
        <v>2715.02</v>
      </c>
      <c r="L51" s="11">
        <f t="shared" si="13"/>
        <v>4380.2</v>
      </c>
      <c r="M51" s="11">
        <f t="shared" si="13"/>
        <v>2818.58</v>
      </c>
      <c r="N51" s="11">
        <f t="shared" si="13"/>
        <v>0</v>
      </c>
    </row>
    <row r="52" spans="2:15" x14ac:dyDescent="0.2">
      <c r="C52" s="8">
        <v>11</v>
      </c>
      <c r="D52" s="8">
        <v>11</v>
      </c>
      <c r="E52" s="8">
        <v>9</v>
      </c>
      <c r="F52" s="8">
        <v>5</v>
      </c>
      <c r="G52" s="8">
        <v>6</v>
      </c>
      <c r="H52" s="8">
        <v>2</v>
      </c>
      <c r="I52" s="8">
        <v>5</v>
      </c>
      <c r="J52" s="8">
        <v>8</v>
      </c>
      <c r="K52" s="8">
        <v>6</v>
      </c>
      <c r="L52" s="8">
        <v>10</v>
      </c>
      <c r="M52" s="8">
        <v>6</v>
      </c>
    </row>
    <row r="53" spans="2:15" x14ac:dyDescent="0.2">
      <c r="N53" s="8">
        <f>+K52*141.22</f>
        <v>847.31999999999994</v>
      </c>
    </row>
    <row r="54" spans="2:15" x14ac:dyDescent="0.2">
      <c r="C54" s="8">
        <f>+C49/141.22</f>
        <v>11.336921115989236</v>
      </c>
      <c r="D54" s="8">
        <f t="shared" ref="D54:L54" si="14">+D49/141.22</f>
        <v>10.890808667327574</v>
      </c>
      <c r="E54" s="8">
        <f t="shared" si="14"/>
        <v>9.127602322617193</v>
      </c>
      <c r="F54" s="8">
        <f t="shared" si="14"/>
        <v>5.317943634046169</v>
      </c>
      <c r="G54" s="8">
        <f t="shared" si="14"/>
        <v>7.4918566775244297</v>
      </c>
      <c r="H54" s="8">
        <f t="shared" si="14"/>
        <v>2.2093187933720437</v>
      </c>
      <c r="I54" s="8">
        <f t="shared" si="14"/>
        <v>5.4878912335363266</v>
      </c>
      <c r="J54" s="8">
        <f t="shared" si="14"/>
        <v>8.4832176745503478</v>
      </c>
      <c r="K54" s="8">
        <f t="shared" si="14"/>
        <v>6.1021101826936697</v>
      </c>
      <c r="L54" s="8">
        <f t="shared" si="14"/>
        <v>10.883798328848606</v>
      </c>
      <c r="N54" s="8">
        <f>41.76*4</f>
        <v>167.04</v>
      </c>
      <c r="O54" s="8">
        <f>+N53+N54</f>
        <v>1014.3599999999999</v>
      </c>
    </row>
    <row r="55" spans="2:15" x14ac:dyDescent="0.2">
      <c r="N55" s="8">
        <f>6125*4</f>
        <v>24500</v>
      </c>
    </row>
    <row r="62" spans="2:15" x14ac:dyDescent="0.2">
      <c r="N62" s="8">
        <f>15*4</f>
        <v>60</v>
      </c>
    </row>
    <row r="68" spans="2:2" x14ac:dyDescent="0.2">
      <c r="B68" s="8">
        <f>15*4</f>
        <v>60</v>
      </c>
    </row>
  </sheetData>
  <mergeCells count="1">
    <mergeCell ref="C3:J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CONSUMO M3</vt:lpstr>
      <vt:lpstr>FACTURACIÓN</vt:lpstr>
      <vt:lpstr>INGRESO</vt:lpstr>
      <vt:lpstr>CONCEPTOS</vt:lpstr>
      <vt:lpstr>PERDIDAS</vt:lpstr>
      <vt:lpstr>LTHADI</vt:lpstr>
      <vt:lpstr>GASTOS</vt:lpstr>
      <vt:lpstr>PADRON POR USO</vt:lpstr>
      <vt:lpstr>INGRESO POR CONTR</vt:lpstr>
      <vt:lpstr>NIVELES</vt:lpstr>
      <vt:lpstr>INGR POR REC Y GTOS</vt:lpstr>
      <vt:lpstr>INGR X TOMA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COMERCIAL CMAPAS</dc:creator>
  <cp:lastModifiedBy>miguel</cp:lastModifiedBy>
  <dcterms:created xsi:type="dcterms:W3CDTF">2017-07-13T18:24:30Z</dcterms:created>
  <dcterms:modified xsi:type="dcterms:W3CDTF">2020-01-07T16:52:28Z</dcterms:modified>
</cp:coreProperties>
</file>