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65"/>
  </bookViews>
  <sheets>
    <sheet name="INDICADORES" sheetId="1" r:id="rId1"/>
    <sheet name="m3 entregados" sheetId="12" r:id="rId2"/>
    <sheet name="EXTRA - FACT" sheetId="3" r:id="rId3"/>
    <sheet name="EXTRACC. POZOS" sheetId="4" r:id="rId4"/>
    <sheet name="TRATAMIENTO DE AGUA" sheetId="5" r:id="rId5"/>
    <sheet name="SIOO17" sheetId="6" r:id="rId6"/>
    <sheet name="INGRESO POR RANGOS" sheetId="7" r:id="rId7"/>
    <sheet name="GRAFICOS POR USO" sheetId="8" r:id="rId8"/>
    <sheet name="eficiencias" sheetId="9" r:id="rId9"/>
    <sheet name="ORDENES " sheetId="10" r:id="rId10"/>
    <sheet name="DISTRI  CONS" sheetId="11" r:id="rId11"/>
    <sheet name="CUENTAS" sheetId="13" r:id="rId12"/>
    <sheet name="INDICADORES DE GESTIÓN DEL AREA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52511"/>
</workbook>
</file>

<file path=xl/calcChain.xml><?xml version="1.0" encoding="utf-8"?>
<calcChain xmlns="http://schemas.openxmlformats.org/spreadsheetml/2006/main">
  <c r="O37" i="14" l="1"/>
  <c r="I37" i="14"/>
  <c r="P36" i="14"/>
  <c r="P37" i="14" s="1"/>
  <c r="I36" i="14"/>
  <c r="L31" i="14"/>
  <c r="N30" i="14"/>
  <c r="L30" i="14"/>
  <c r="K30" i="14"/>
  <c r="J30" i="14"/>
  <c r="I30" i="14"/>
  <c r="G30" i="14"/>
  <c r="F30" i="14"/>
  <c r="E30" i="14"/>
  <c r="D30" i="14"/>
  <c r="N29" i="14"/>
  <c r="K29" i="14"/>
  <c r="J29" i="14"/>
  <c r="I29" i="14"/>
  <c r="I31" i="14" s="1"/>
  <c r="H29" i="14"/>
  <c r="G29" i="14"/>
  <c r="F29" i="14"/>
  <c r="E29" i="14"/>
  <c r="D29" i="14"/>
  <c r="N28" i="14"/>
  <c r="N31" i="14" s="1"/>
  <c r="M28" i="14"/>
  <c r="M31" i="14" s="1"/>
  <c r="L28" i="14"/>
  <c r="K28" i="14"/>
  <c r="J28" i="14"/>
  <c r="H28" i="14"/>
  <c r="H31" i="14" s="1"/>
  <c r="G28" i="14"/>
  <c r="G31" i="14" s="1"/>
  <c r="F28" i="14"/>
  <c r="F31" i="14" s="1"/>
  <c r="E28" i="14"/>
  <c r="E31" i="14" s="1"/>
  <c r="D28" i="14"/>
  <c r="D31" i="14" s="1"/>
  <c r="N27" i="14"/>
  <c r="M27" i="14"/>
  <c r="L27" i="14"/>
  <c r="K27" i="14"/>
  <c r="J27" i="14"/>
  <c r="I27" i="14"/>
  <c r="H27" i="14"/>
  <c r="G27" i="14"/>
  <c r="F27" i="14"/>
  <c r="E27" i="14"/>
  <c r="D27" i="14"/>
  <c r="N25" i="14"/>
  <c r="M25" i="14"/>
  <c r="L25" i="14"/>
  <c r="K25" i="14"/>
  <c r="J25" i="14"/>
  <c r="I25" i="14"/>
  <c r="H25" i="14"/>
  <c r="G25" i="14"/>
  <c r="F25" i="14"/>
  <c r="E25" i="14"/>
  <c r="D25" i="14"/>
  <c r="N24" i="14"/>
  <c r="M24" i="14"/>
  <c r="L24" i="14"/>
  <c r="K24" i="14"/>
  <c r="J24" i="14"/>
  <c r="I24" i="14"/>
  <c r="H24" i="14"/>
  <c r="G24" i="14"/>
  <c r="F24" i="14"/>
  <c r="E24" i="14"/>
  <c r="D24" i="14"/>
  <c r="N23" i="14"/>
  <c r="M23" i="14"/>
  <c r="L23" i="14"/>
  <c r="K23" i="14"/>
  <c r="J23" i="14"/>
  <c r="I23" i="14"/>
  <c r="H23" i="14"/>
  <c r="G23" i="14"/>
  <c r="F23" i="14"/>
  <c r="E23" i="14"/>
  <c r="D23" i="14"/>
  <c r="N22" i="14"/>
  <c r="M22" i="14"/>
  <c r="L22" i="14"/>
  <c r="K22" i="14"/>
  <c r="J22" i="14"/>
  <c r="I22" i="14"/>
  <c r="H22" i="14"/>
  <c r="G22" i="14"/>
  <c r="F22" i="14"/>
  <c r="E22" i="14"/>
  <c r="D22" i="14"/>
  <c r="N21" i="14"/>
  <c r="M21" i="14"/>
  <c r="L21" i="14"/>
  <c r="K21" i="14"/>
  <c r="J21" i="14"/>
  <c r="I21" i="14"/>
  <c r="H21" i="14"/>
  <c r="G21" i="14"/>
  <c r="F21" i="14"/>
  <c r="E21" i="14"/>
  <c r="D21" i="14"/>
  <c r="N20" i="14"/>
  <c r="M20" i="14"/>
  <c r="L20" i="14"/>
  <c r="K20" i="14"/>
  <c r="J20" i="14"/>
  <c r="I20" i="14"/>
  <c r="H20" i="14"/>
  <c r="G20" i="14"/>
  <c r="F20" i="14"/>
  <c r="E20" i="14"/>
  <c r="D20" i="14"/>
  <c r="N18" i="14"/>
  <c r="M18" i="14"/>
  <c r="L18" i="14"/>
  <c r="K18" i="14"/>
  <c r="J18" i="14"/>
  <c r="I18" i="14"/>
  <c r="H18" i="14"/>
  <c r="G18" i="14"/>
  <c r="F18" i="14"/>
  <c r="E18" i="14"/>
  <c r="D18" i="14"/>
  <c r="N17" i="14"/>
  <c r="M17" i="14"/>
  <c r="L17" i="14"/>
  <c r="K17" i="14"/>
  <c r="J17" i="14"/>
  <c r="I17" i="14"/>
  <c r="H17" i="14"/>
  <c r="G17" i="14"/>
  <c r="F17" i="14"/>
  <c r="E17" i="14"/>
  <c r="D17" i="14"/>
  <c r="N15" i="14"/>
  <c r="M15" i="14"/>
  <c r="L15" i="14"/>
  <c r="K15" i="14"/>
  <c r="J15" i="14"/>
  <c r="I15" i="14"/>
  <c r="H15" i="14"/>
  <c r="G15" i="14"/>
  <c r="F15" i="14"/>
  <c r="E15" i="14"/>
  <c r="D15" i="14"/>
  <c r="N12" i="14"/>
  <c r="J12" i="14"/>
  <c r="I12" i="14"/>
  <c r="H12" i="14"/>
  <c r="G12" i="14"/>
  <c r="F12" i="14"/>
  <c r="E12" i="14"/>
  <c r="D12" i="14"/>
  <c r="N11" i="14"/>
  <c r="M11" i="14"/>
  <c r="L11" i="14"/>
  <c r="K11" i="14"/>
  <c r="J11" i="14"/>
  <c r="I11" i="14"/>
  <c r="H11" i="14"/>
  <c r="G11" i="14"/>
  <c r="F11" i="14"/>
  <c r="E11" i="14"/>
  <c r="N10" i="14"/>
  <c r="M10" i="14"/>
  <c r="L10" i="14"/>
  <c r="K10" i="14"/>
  <c r="J10" i="14"/>
  <c r="I10" i="14"/>
  <c r="H10" i="14"/>
  <c r="G10" i="14"/>
  <c r="F10" i="14"/>
  <c r="E10" i="14"/>
  <c r="D10" i="14"/>
  <c r="G9" i="14"/>
  <c r="F9" i="14"/>
  <c r="E9" i="14"/>
  <c r="D9" i="14"/>
  <c r="N8" i="14"/>
  <c r="M8" i="14"/>
  <c r="L8" i="14"/>
  <c r="K8" i="14"/>
  <c r="J8" i="14"/>
  <c r="I8" i="14"/>
  <c r="H8" i="14"/>
  <c r="G8" i="14"/>
  <c r="F8" i="14"/>
  <c r="E8" i="14"/>
  <c r="D8" i="14"/>
  <c r="G7" i="14"/>
  <c r="F7" i="14"/>
  <c r="E7" i="14"/>
  <c r="D7" i="14"/>
  <c r="G6" i="14"/>
  <c r="F6" i="14"/>
  <c r="E6" i="14"/>
  <c r="D6" i="14"/>
  <c r="J31" i="14" l="1"/>
  <c r="K31" i="14"/>
  <c r="O10" i="3"/>
  <c r="O11" i="3"/>
  <c r="D12" i="3"/>
  <c r="O12" i="3" s="1"/>
  <c r="E12" i="3"/>
  <c r="F12" i="3"/>
  <c r="G12" i="3"/>
  <c r="H12" i="3"/>
  <c r="I12" i="3"/>
  <c r="J12" i="3"/>
  <c r="K12" i="3"/>
  <c r="L12" i="3"/>
  <c r="N12" i="3"/>
  <c r="C13" i="3"/>
  <c r="D13" i="3"/>
  <c r="D14" i="3" s="1"/>
  <c r="E13" i="3"/>
  <c r="E14" i="3" s="1"/>
  <c r="F13" i="3"/>
  <c r="G13" i="3"/>
  <c r="H13" i="3"/>
  <c r="H14" i="3" s="1"/>
  <c r="I13" i="3"/>
  <c r="I14" i="3" s="1"/>
  <c r="J13" i="3"/>
  <c r="K13" i="3"/>
  <c r="L13" i="3"/>
  <c r="L14" i="3" s="1"/>
  <c r="M13" i="3"/>
  <c r="M14" i="3" s="1"/>
  <c r="N13" i="3"/>
  <c r="C14" i="3"/>
  <c r="F14" i="3"/>
  <c r="G14" i="3"/>
  <c r="J14" i="3"/>
  <c r="K14" i="3"/>
  <c r="N14" i="3"/>
  <c r="C21" i="3"/>
  <c r="D21" i="3"/>
  <c r="O21" i="3" s="1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Z15" i="3" s="1"/>
  <c r="D23" i="3"/>
  <c r="E23" i="3"/>
  <c r="F23" i="3"/>
  <c r="G23" i="3"/>
  <c r="H23" i="3"/>
  <c r="I23" i="3"/>
  <c r="J23" i="3"/>
  <c r="K23" i="3"/>
  <c r="L23" i="3"/>
  <c r="M23" i="3"/>
  <c r="N23" i="3"/>
  <c r="O14" i="3" l="1"/>
  <c r="O13" i="3"/>
  <c r="O35" i="1"/>
  <c r="O33" i="1"/>
  <c r="O32" i="1"/>
  <c r="P13" i="3" l="1"/>
  <c r="AN92" i="6"/>
  <c r="AO96" i="6" s="1"/>
  <c r="AO94" i="6" l="1"/>
  <c r="AO93" i="6"/>
  <c r="AO95" i="6"/>
  <c r="AO92" i="6"/>
  <c r="O19" i="1"/>
  <c r="O17" i="1"/>
  <c r="N17" i="1"/>
  <c r="O15" i="1"/>
  <c r="N15" i="1"/>
  <c r="O14" i="1"/>
  <c r="O12" i="1"/>
  <c r="O11" i="1"/>
  <c r="O10" i="1" l="1"/>
  <c r="O8" i="1"/>
  <c r="P31" i="4"/>
  <c r="O36" i="1" l="1"/>
  <c r="O34" i="1"/>
  <c r="O26" i="1"/>
  <c r="O37" i="1"/>
  <c r="O16" i="1"/>
  <c r="O7" i="1"/>
  <c r="O9" i="1" s="1"/>
  <c r="N32" i="10"/>
  <c r="L28" i="5"/>
  <c r="R31" i="4" l="1"/>
  <c r="N35" i="1" l="1"/>
  <c r="N33" i="1"/>
  <c r="N32" i="1"/>
  <c r="M32" i="10" l="1"/>
  <c r="P13" i="9" l="1"/>
  <c r="O14" i="9"/>
  <c r="P14" i="9" s="1"/>
  <c r="O15" i="9"/>
  <c r="P15" i="9" s="1"/>
  <c r="O13" i="9"/>
  <c r="J28" i="5"/>
  <c r="K28" i="5"/>
  <c r="N19" i="1"/>
  <c r="N14" i="1"/>
  <c r="N12" i="1"/>
  <c r="N11" i="1"/>
  <c r="N10" i="1"/>
  <c r="N8" i="1" l="1"/>
  <c r="N7" i="1"/>
  <c r="N9" i="1" l="1"/>
  <c r="L30" i="3"/>
  <c r="L37" i="3" s="1"/>
  <c r="L38" i="3"/>
  <c r="K38" i="3"/>
  <c r="O30" i="4"/>
  <c r="S30" i="4" s="1"/>
  <c r="O29" i="4"/>
  <c r="S29" i="4" s="1"/>
  <c r="O28" i="4"/>
  <c r="S28" i="4" s="1"/>
  <c r="O27" i="4"/>
  <c r="S27" i="4" s="1"/>
  <c r="O26" i="4"/>
  <c r="S26" i="4" s="1"/>
  <c r="O25" i="4"/>
  <c r="S25" i="4" s="1"/>
  <c r="S31" i="4" l="1"/>
  <c r="O31" i="4"/>
  <c r="N37" i="1" s="1"/>
  <c r="AK57" i="6"/>
  <c r="AL57" i="6" s="1"/>
  <c r="N16" i="1" l="1"/>
  <c r="O36" i="4"/>
  <c r="O35" i="4"/>
  <c r="O37" i="4" s="1"/>
  <c r="N26" i="1"/>
  <c r="N34" i="1"/>
  <c r="N36" i="1"/>
  <c r="C33" i="5"/>
  <c r="D33" i="5"/>
  <c r="G33" i="5"/>
  <c r="J33" i="5"/>
  <c r="B33" i="5"/>
  <c r="I36" i="4" l="1"/>
  <c r="I35" i="4"/>
  <c r="I37" i="4" s="1"/>
  <c r="I40" i="4" l="1"/>
  <c r="I39" i="4"/>
  <c r="M35" i="1" l="1"/>
  <c r="M33" i="1"/>
  <c r="M32" i="1"/>
  <c r="M45" i="3" l="1"/>
  <c r="K45" i="3"/>
  <c r="H45" i="3"/>
  <c r="F45" i="3"/>
  <c r="D45" i="3"/>
  <c r="M42" i="3"/>
  <c r="M41" i="3"/>
  <c r="K42" i="3"/>
  <c r="H42" i="3"/>
  <c r="F42" i="3"/>
  <c r="D42" i="3"/>
  <c r="E45" i="3"/>
  <c r="G45" i="3"/>
  <c r="I45" i="3"/>
  <c r="J45" i="3"/>
  <c r="L45" i="3"/>
  <c r="N45" i="3"/>
  <c r="C45" i="3"/>
  <c r="E42" i="3"/>
  <c r="G42" i="3"/>
  <c r="I42" i="3"/>
  <c r="J42" i="3"/>
  <c r="L42" i="3"/>
  <c r="N42" i="3"/>
  <c r="C42" i="3"/>
  <c r="C41" i="3"/>
  <c r="D38" i="3"/>
  <c r="E38" i="3"/>
  <c r="F38" i="3"/>
  <c r="G38" i="3"/>
  <c r="I38" i="3"/>
  <c r="J38" i="3"/>
  <c r="M38" i="3"/>
  <c r="N38" i="3"/>
  <c r="C38" i="3"/>
  <c r="AI154" i="6" l="1"/>
  <c r="AJ154" i="6"/>
  <c r="L32" i="10" l="1"/>
  <c r="AK105" i="6"/>
  <c r="AC102" i="6"/>
  <c r="M19" i="1" l="1"/>
  <c r="M17" i="1" l="1"/>
  <c r="M15" i="1"/>
  <c r="M14" i="1"/>
  <c r="M12" i="1"/>
  <c r="M11" i="1"/>
  <c r="M10" i="1"/>
  <c r="M8" i="1"/>
  <c r="AV99" i="7" l="1"/>
  <c r="AU99" i="7"/>
  <c r="AT99" i="7"/>
  <c r="AS99" i="7"/>
  <c r="AR99" i="7"/>
  <c r="AQ99" i="7"/>
  <c r="AN99" i="7"/>
  <c r="AM99" i="7"/>
  <c r="AL99" i="7"/>
  <c r="AK99" i="7"/>
  <c r="AJ99" i="7"/>
  <c r="AI99" i="7"/>
  <c r="AF99" i="7"/>
  <c r="AE99" i="7"/>
  <c r="AD99" i="7"/>
  <c r="AC99" i="7"/>
  <c r="AB99" i="7"/>
  <c r="AA99" i="7"/>
  <c r="X99" i="7"/>
  <c r="W99" i="7"/>
  <c r="V99" i="7"/>
  <c r="U99" i="7"/>
  <c r="T99" i="7"/>
  <c r="S99" i="7"/>
  <c r="P99" i="7"/>
  <c r="O99" i="7"/>
  <c r="N99" i="7"/>
  <c r="M99" i="7"/>
  <c r="L99" i="7"/>
  <c r="K99" i="7"/>
  <c r="G99" i="7"/>
  <c r="F99" i="7"/>
  <c r="M7" i="1" l="1"/>
  <c r="N31" i="4" l="1"/>
  <c r="N35" i="4" l="1"/>
  <c r="N36" i="4"/>
  <c r="M37" i="1"/>
  <c r="M36" i="1"/>
  <c r="M26" i="1"/>
  <c r="M34" i="1"/>
  <c r="M16" i="1"/>
  <c r="AJ105" i="6"/>
  <c r="AI105" i="6"/>
  <c r="N37" i="4" l="1"/>
  <c r="N40" i="4"/>
  <c r="N39" i="4"/>
  <c r="L35" i="1"/>
  <c r="K35" i="1"/>
  <c r="L33" i="1"/>
  <c r="K33" i="1"/>
  <c r="L32" i="1"/>
  <c r="K32" i="1"/>
  <c r="I27" i="5"/>
  <c r="I33" i="5" s="1"/>
  <c r="I26" i="5"/>
  <c r="L12" i="1" l="1"/>
  <c r="O22" i="11" l="1"/>
  <c r="P22" i="11" s="1"/>
  <c r="O23" i="11"/>
  <c r="P23" i="11" s="1"/>
  <c r="O24" i="11"/>
  <c r="P24" i="11" s="1"/>
  <c r="O25" i="11"/>
  <c r="P25" i="11" s="1"/>
  <c r="O21" i="11"/>
  <c r="P21" i="11" s="1"/>
  <c r="C14" i="11"/>
  <c r="D14" i="11"/>
  <c r="E14" i="11"/>
  <c r="F14" i="11"/>
  <c r="G14" i="11"/>
  <c r="H14" i="11"/>
  <c r="H17" i="11"/>
  <c r="G17" i="11"/>
  <c r="F17" i="11"/>
  <c r="E17" i="11"/>
  <c r="D17" i="11"/>
  <c r="C17" i="11"/>
  <c r="H16" i="11"/>
  <c r="G16" i="11"/>
  <c r="F16" i="11"/>
  <c r="E16" i="11"/>
  <c r="D16" i="11"/>
  <c r="C16" i="11"/>
  <c r="H15" i="11"/>
  <c r="G15" i="11"/>
  <c r="F15" i="11"/>
  <c r="E15" i="11"/>
  <c r="D15" i="11"/>
  <c r="C15" i="11"/>
  <c r="G13" i="11"/>
  <c r="F13" i="11"/>
  <c r="O13" i="11" s="1"/>
  <c r="D5" i="11"/>
  <c r="E5" i="11"/>
  <c r="F5" i="11"/>
  <c r="G5" i="11"/>
  <c r="H5" i="11"/>
  <c r="I5" i="11"/>
  <c r="J5" i="11"/>
  <c r="K5" i="11"/>
  <c r="L5" i="11"/>
  <c r="M5" i="11"/>
  <c r="N5" i="11"/>
  <c r="D6" i="11"/>
  <c r="O6" i="11" s="1"/>
  <c r="E6" i="11"/>
  <c r="F6" i="11"/>
  <c r="G6" i="11"/>
  <c r="H6" i="11"/>
  <c r="I6" i="11"/>
  <c r="J6" i="11"/>
  <c r="K6" i="11"/>
  <c r="L6" i="11"/>
  <c r="M6" i="11"/>
  <c r="N6" i="11"/>
  <c r="D7" i="11"/>
  <c r="E7" i="11"/>
  <c r="F7" i="11"/>
  <c r="G7" i="11"/>
  <c r="H7" i="11"/>
  <c r="I7" i="11"/>
  <c r="J7" i="11"/>
  <c r="K7" i="11"/>
  <c r="L7" i="11"/>
  <c r="M7" i="11"/>
  <c r="N7" i="11"/>
  <c r="D8" i="11"/>
  <c r="E8" i="11"/>
  <c r="F8" i="11"/>
  <c r="G8" i="11"/>
  <c r="H8" i="11"/>
  <c r="I8" i="11"/>
  <c r="J8" i="11"/>
  <c r="K8" i="11"/>
  <c r="L8" i="11"/>
  <c r="M8" i="11"/>
  <c r="N8" i="11"/>
  <c r="D9" i="11"/>
  <c r="E9" i="11"/>
  <c r="F9" i="11"/>
  <c r="G9" i="11"/>
  <c r="H9" i="11"/>
  <c r="I9" i="11"/>
  <c r="J9" i="11"/>
  <c r="K9" i="11"/>
  <c r="L9" i="11"/>
  <c r="M9" i="11"/>
  <c r="N9" i="11"/>
  <c r="C9" i="11"/>
  <c r="O9" i="11" s="1"/>
  <c r="C8" i="11"/>
  <c r="C7" i="11"/>
  <c r="C6" i="11"/>
  <c r="C5" i="11"/>
  <c r="O5" i="11" s="1"/>
  <c r="L17" i="1"/>
  <c r="D14" i="1"/>
  <c r="L14" i="1"/>
  <c r="F14" i="1"/>
  <c r="G14" i="1"/>
  <c r="H14" i="1"/>
  <c r="I14" i="1"/>
  <c r="J14" i="1"/>
  <c r="K14" i="1"/>
  <c r="E14" i="1"/>
  <c r="L11" i="1"/>
  <c r="L10" i="1"/>
  <c r="L8" i="1"/>
  <c r="O16" i="11" l="1"/>
  <c r="P16" i="11" s="1"/>
  <c r="O7" i="11"/>
  <c r="O8" i="11"/>
  <c r="O15" i="11"/>
  <c r="P15" i="11" s="1"/>
  <c r="O17" i="11"/>
  <c r="O14" i="11"/>
  <c r="P14" i="11" s="1"/>
  <c r="P13" i="11"/>
  <c r="P17" i="11"/>
  <c r="P7" i="11"/>
  <c r="P8" i="11"/>
  <c r="P5" i="11"/>
  <c r="P9" i="11"/>
  <c r="P6" i="11"/>
  <c r="L7" i="1" l="1"/>
  <c r="M31" i="4" l="1"/>
  <c r="M35" i="4" l="1"/>
  <c r="M36" i="4"/>
  <c r="L26" i="1"/>
  <c r="L36" i="1"/>
  <c r="L34" i="1"/>
  <c r="L37" i="1"/>
  <c r="L16" i="1"/>
  <c r="J65" i="8"/>
  <c r="J64" i="8"/>
  <c r="J63" i="8"/>
  <c r="J62" i="8"/>
  <c r="J66" i="8" s="1"/>
  <c r="J61" i="8"/>
  <c r="J60" i="8"/>
  <c r="J45" i="8"/>
  <c r="J22" i="8"/>
  <c r="M37" i="4" l="1"/>
  <c r="M40" i="4"/>
  <c r="M39" i="4"/>
  <c r="AV88" i="7"/>
  <c r="AU88" i="7"/>
  <c r="AT88" i="7"/>
  <c r="AS88" i="7"/>
  <c r="AR88" i="7"/>
  <c r="J32" i="8" s="1"/>
  <c r="AQ88" i="7"/>
  <c r="J10" i="8" s="1"/>
  <c r="AN88" i="7"/>
  <c r="AM88" i="7"/>
  <c r="AL88" i="7"/>
  <c r="AK88" i="7"/>
  <c r="AJ88" i="7"/>
  <c r="J31" i="8" s="1"/>
  <c r="AI88" i="7"/>
  <c r="J9" i="8" s="1"/>
  <c r="AF88" i="7"/>
  <c r="AE88" i="7"/>
  <c r="AD88" i="7"/>
  <c r="AC88" i="7"/>
  <c r="AB88" i="7"/>
  <c r="J30" i="8" s="1"/>
  <c r="AA88" i="7"/>
  <c r="J8" i="8" s="1"/>
  <c r="X88" i="7"/>
  <c r="W88" i="7"/>
  <c r="V88" i="7"/>
  <c r="U88" i="7"/>
  <c r="T88" i="7"/>
  <c r="J29" i="8" s="1"/>
  <c r="S88" i="7"/>
  <c r="J7" i="8" s="1"/>
  <c r="P88" i="7"/>
  <c r="O88" i="7"/>
  <c r="N88" i="7"/>
  <c r="M88" i="7"/>
  <c r="L88" i="7"/>
  <c r="J28" i="8" s="1"/>
  <c r="K88" i="7"/>
  <c r="H88" i="7"/>
  <c r="G88" i="7"/>
  <c r="F88" i="7"/>
  <c r="E88" i="7"/>
  <c r="D88" i="7"/>
  <c r="J27" i="8" s="1"/>
  <c r="J50" i="8" s="1"/>
  <c r="C88" i="7"/>
  <c r="J55" i="8" l="1"/>
  <c r="J52" i="8"/>
  <c r="J54" i="8"/>
  <c r="J33" i="8"/>
  <c r="J53" i="8"/>
  <c r="L90" i="7"/>
  <c r="AB92" i="6"/>
  <c r="AB93" i="6"/>
  <c r="AB94" i="6"/>
  <c r="AB95" i="6"/>
  <c r="AB97" i="6" s="1"/>
  <c r="AB96" i="6"/>
  <c r="AB47" i="6" l="1"/>
  <c r="AB140" i="6" l="1"/>
  <c r="AB71" i="6" l="1"/>
  <c r="AB66" i="6" l="1"/>
  <c r="N19" i="5"/>
  <c r="I65" i="8" l="1"/>
  <c r="I64" i="8"/>
  <c r="I63" i="8"/>
  <c r="I62" i="8"/>
  <c r="I61" i="8"/>
  <c r="I60" i="8"/>
  <c r="I66" i="8" s="1"/>
  <c r="I30" i="8"/>
  <c r="I53" i="8" s="1"/>
  <c r="I45" i="8"/>
  <c r="I22" i="8"/>
  <c r="I7" i="8"/>
  <c r="I6" i="8"/>
  <c r="AV77" i="7"/>
  <c r="AU77" i="7"/>
  <c r="AT77" i="7"/>
  <c r="AS77" i="7"/>
  <c r="AR77" i="7"/>
  <c r="I32" i="8" s="1"/>
  <c r="AQ77" i="7"/>
  <c r="I10" i="8" s="1"/>
  <c r="AN77" i="7"/>
  <c r="AM77" i="7"/>
  <c r="AL77" i="7"/>
  <c r="AK77" i="7"/>
  <c r="AJ77" i="7"/>
  <c r="I31" i="8" s="1"/>
  <c r="AI77" i="7"/>
  <c r="I9" i="8" s="1"/>
  <c r="AF77" i="7"/>
  <c r="AE77" i="7"/>
  <c r="AD77" i="7"/>
  <c r="AC77" i="7"/>
  <c r="AB77" i="7"/>
  <c r="AA77" i="7"/>
  <c r="I8" i="8" s="1"/>
  <c r="X77" i="7"/>
  <c r="W77" i="7"/>
  <c r="V77" i="7"/>
  <c r="U77" i="7"/>
  <c r="T77" i="7"/>
  <c r="I29" i="8" s="1"/>
  <c r="I52" i="8" s="1"/>
  <c r="S77" i="7"/>
  <c r="P77" i="7"/>
  <c r="O77" i="7"/>
  <c r="N77" i="7"/>
  <c r="M77" i="7"/>
  <c r="L77" i="7"/>
  <c r="I28" i="8" s="1"/>
  <c r="I51" i="8" s="1"/>
  <c r="K77" i="7"/>
  <c r="J6" i="8" s="1"/>
  <c r="H77" i="7"/>
  <c r="G77" i="7"/>
  <c r="F77" i="7"/>
  <c r="E77" i="7"/>
  <c r="D77" i="7"/>
  <c r="I27" i="8" s="1"/>
  <c r="C77" i="7"/>
  <c r="I5" i="8" s="1"/>
  <c r="I50" i="8" l="1"/>
  <c r="I54" i="8"/>
  <c r="J11" i="8"/>
  <c r="J51" i="8"/>
  <c r="J56" i="8" s="1"/>
  <c r="I11" i="8"/>
  <c r="I55" i="8"/>
  <c r="I33" i="8"/>
  <c r="K12" i="1"/>
  <c r="J12" i="1"/>
  <c r="K11" i="1"/>
  <c r="K10" i="1"/>
  <c r="K8" i="1"/>
  <c r="I56" i="8" l="1"/>
  <c r="K7" i="1"/>
  <c r="H27" i="5"/>
  <c r="H33" i="5" s="1"/>
  <c r="H26" i="5"/>
  <c r="L31" i="4"/>
  <c r="H28" i="5" l="1"/>
  <c r="L35" i="4"/>
  <c r="L36" i="4"/>
  <c r="K34" i="1"/>
  <c r="K36" i="1"/>
  <c r="K26" i="1"/>
  <c r="K16" i="1"/>
  <c r="K37" i="1"/>
  <c r="J32" i="10"/>
  <c r="L37" i="4" l="1"/>
  <c r="L39" i="4"/>
  <c r="L40" i="4"/>
  <c r="J35" i="1"/>
  <c r="J33" i="1"/>
  <c r="J32" i="1"/>
  <c r="AH105" i="6"/>
  <c r="G8" i="1" l="1"/>
  <c r="I8" i="1"/>
  <c r="J8" i="1"/>
  <c r="H29" i="5"/>
  <c r="G28" i="5"/>
  <c r="K31" i="4"/>
  <c r="H29" i="3"/>
  <c r="K35" i="4" l="1"/>
  <c r="K36" i="4"/>
  <c r="J26" i="1"/>
  <c r="J36" i="1"/>
  <c r="J34" i="1"/>
  <c r="J16" i="1"/>
  <c r="J37" i="1"/>
  <c r="H38" i="3"/>
  <c r="J7" i="1"/>
  <c r="H65" i="8"/>
  <c r="H64" i="8"/>
  <c r="H63" i="8"/>
  <c r="H62" i="8"/>
  <c r="H61" i="8"/>
  <c r="H66" i="8"/>
  <c r="H60" i="8"/>
  <c r="H45" i="8"/>
  <c r="H22" i="8"/>
  <c r="K37" i="4" l="1"/>
  <c r="K40" i="4"/>
  <c r="K39" i="4"/>
  <c r="AE134" i="6" l="1"/>
  <c r="AF134" i="6"/>
  <c r="G65" i="8" l="1"/>
  <c r="G64" i="8"/>
  <c r="G63" i="8"/>
  <c r="G62" i="8"/>
  <c r="G61" i="8"/>
  <c r="G60" i="8"/>
  <c r="G45" i="8"/>
  <c r="G22" i="8"/>
  <c r="G26" i="1" l="1"/>
  <c r="AG105" i="6" l="1"/>
  <c r="F27" i="5" l="1"/>
  <c r="F33" i="5" s="1"/>
  <c r="F26" i="5"/>
  <c r="I35" i="1"/>
  <c r="I33" i="1"/>
  <c r="I32" i="1"/>
  <c r="G36" i="1"/>
  <c r="G35" i="1"/>
  <c r="H35" i="1"/>
  <c r="G34" i="1"/>
  <c r="H33" i="1"/>
  <c r="G33" i="1"/>
  <c r="H32" i="1"/>
  <c r="G32" i="1"/>
  <c r="I12" i="1"/>
  <c r="F28" i="5" l="1"/>
  <c r="H8" i="1"/>
  <c r="I7" i="1"/>
  <c r="H7" i="1"/>
  <c r="J31" i="4" l="1"/>
  <c r="J35" i="4" l="1"/>
  <c r="J36" i="4"/>
  <c r="I26" i="1"/>
  <c r="H26" i="1"/>
  <c r="H36" i="1"/>
  <c r="I36" i="1"/>
  <c r="H34" i="1"/>
  <c r="H16" i="1"/>
  <c r="I34" i="1"/>
  <c r="I16" i="1"/>
  <c r="I37" i="1"/>
  <c r="H37" i="1"/>
  <c r="AF105" i="6"/>
  <c r="J37" i="4" l="1"/>
  <c r="G17" i="1"/>
  <c r="G16" i="1"/>
  <c r="G12" i="1"/>
  <c r="F12" i="1"/>
  <c r="H12" i="1"/>
  <c r="E26" i="5"/>
  <c r="E27" i="5"/>
  <c r="E33" i="5" s="1"/>
  <c r="J39" i="4" l="1"/>
  <c r="J40" i="4"/>
  <c r="E28" i="5"/>
  <c r="G37" i="1"/>
  <c r="F65" i="8" l="1"/>
  <c r="F64" i="8"/>
  <c r="F63" i="8"/>
  <c r="F62" i="8"/>
  <c r="F61" i="8"/>
  <c r="F60" i="8"/>
  <c r="F45" i="8"/>
  <c r="F22" i="8"/>
  <c r="E65" i="8" l="1"/>
  <c r="E64" i="8"/>
  <c r="E63" i="8"/>
  <c r="E62" i="8"/>
  <c r="E61" i="8"/>
  <c r="E60" i="8"/>
  <c r="AC134" i="6" l="1"/>
  <c r="AD134" i="6"/>
  <c r="AD46" i="6"/>
  <c r="AB143" i="6" l="1"/>
  <c r="AB144" i="6"/>
  <c r="E33" i="8" l="1"/>
  <c r="E45" i="8"/>
  <c r="E22" i="8"/>
  <c r="E11" i="8"/>
  <c r="E35" i="1"/>
  <c r="F35" i="1"/>
  <c r="D35" i="1"/>
  <c r="E33" i="1"/>
  <c r="F33" i="1"/>
  <c r="D33" i="1"/>
  <c r="D32" i="1"/>
  <c r="E32" i="1"/>
  <c r="F32" i="1"/>
  <c r="AD117" i="6" l="1"/>
  <c r="AE117" i="6"/>
  <c r="AC117" i="6"/>
  <c r="AV33" i="7" l="1"/>
  <c r="F38" i="1" l="1"/>
  <c r="E38" i="1"/>
  <c r="AE105" i="6" l="1"/>
  <c r="AD105" i="6" l="1"/>
  <c r="D28" i="5" l="1"/>
  <c r="F8" i="1"/>
  <c r="E8" i="1"/>
  <c r="D8" i="1"/>
  <c r="F11" i="1" l="1"/>
  <c r="F10" i="1"/>
  <c r="H31" i="4" l="1"/>
  <c r="H35" i="4" l="1"/>
  <c r="H36" i="4"/>
  <c r="F26" i="1"/>
  <c r="F16" i="1"/>
  <c r="F34" i="1"/>
  <c r="F36" i="1"/>
  <c r="F37" i="1"/>
  <c r="I9" i="1"/>
  <c r="J9" i="1"/>
  <c r="K9" i="1"/>
  <c r="L9" i="1"/>
  <c r="E7" i="1"/>
  <c r="F7" i="1"/>
  <c r="G7" i="1"/>
  <c r="G9" i="1" s="1"/>
  <c r="H9" i="1"/>
  <c r="M9" i="1"/>
  <c r="P7" i="1"/>
  <c r="H37" i="4" l="1"/>
  <c r="F9" i="1"/>
  <c r="N18" i="5"/>
  <c r="H39" i="4" l="1"/>
  <c r="H40" i="4"/>
  <c r="P110" i="6"/>
  <c r="Q110" i="6"/>
  <c r="R110" i="6"/>
  <c r="S110" i="6"/>
  <c r="T110" i="6"/>
  <c r="U110" i="6"/>
  <c r="V110" i="6"/>
  <c r="W110" i="6"/>
  <c r="X110" i="6"/>
  <c r="Y110" i="6"/>
  <c r="Z110" i="6"/>
  <c r="P117" i="6" l="1"/>
  <c r="E32" i="10" l="1"/>
  <c r="O11" i="10"/>
  <c r="N11" i="10"/>
  <c r="M11" i="10"/>
  <c r="L11" i="10"/>
  <c r="K11" i="10"/>
  <c r="J11" i="10"/>
  <c r="I11" i="10"/>
  <c r="H11" i="10"/>
  <c r="G11" i="10"/>
  <c r="F11" i="10"/>
  <c r="E11" i="10"/>
  <c r="D11" i="10"/>
  <c r="O32" i="10"/>
  <c r="K32" i="10"/>
  <c r="I32" i="10"/>
  <c r="H32" i="10"/>
  <c r="G32" i="10"/>
  <c r="F32" i="10"/>
  <c r="D32" i="10"/>
  <c r="O21" i="10"/>
  <c r="D21" i="10"/>
  <c r="E21" i="10"/>
  <c r="F21" i="10"/>
  <c r="G21" i="10"/>
  <c r="H21" i="10"/>
  <c r="I21" i="10"/>
  <c r="J21" i="10"/>
  <c r="K21" i="10"/>
  <c r="L21" i="10"/>
  <c r="M21" i="10"/>
  <c r="N21" i="10"/>
  <c r="E27" i="1" l="1"/>
  <c r="D27" i="1"/>
  <c r="E17" i="1"/>
  <c r="E15" i="1"/>
  <c r="E11" i="1"/>
  <c r="E10" i="1"/>
  <c r="E12" i="1" l="1"/>
  <c r="E9" i="1"/>
  <c r="C28" i="5"/>
  <c r="G31" i="4"/>
  <c r="G35" i="4" l="1"/>
  <c r="G36" i="4"/>
  <c r="E26" i="1"/>
  <c r="E16" i="1"/>
  <c r="E36" i="1"/>
  <c r="E34" i="1"/>
  <c r="E37" i="1"/>
  <c r="D60" i="8"/>
  <c r="D61" i="8"/>
  <c r="D62" i="8"/>
  <c r="D66" i="8" s="1"/>
  <c r="D63" i="8"/>
  <c r="D64" i="8"/>
  <c r="D65" i="8"/>
  <c r="C61" i="8"/>
  <c r="C62" i="8"/>
  <c r="C63" i="8"/>
  <c r="C64" i="8"/>
  <c r="C65" i="8"/>
  <c r="C60" i="8"/>
  <c r="E66" i="8"/>
  <c r="C22" i="8"/>
  <c r="G37" i="4" l="1"/>
  <c r="F66" i="8"/>
  <c r="C66" i="8"/>
  <c r="G66" i="8"/>
  <c r="D22" i="8"/>
  <c r="C45" i="8"/>
  <c r="G40" i="4" l="1"/>
  <c r="G39" i="4"/>
  <c r="D45" i="8"/>
  <c r="AW21" i="7"/>
  <c r="AW20" i="7"/>
  <c r="AW19" i="7"/>
  <c r="AW18" i="7"/>
  <c r="AW17" i="7"/>
  <c r="AW16" i="7"/>
  <c r="AW15" i="7"/>
  <c r="AW22" i="7" l="1"/>
  <c r="O62" i="6"/>
  <c r="V147" i="6" l="1"/>
  <c r="R145" i="6"/>
  <c r="Z142" i="6"/>
  <c r="AA142" i="6"/>
  <c r="AB49" i="6" l="1"/>
  <c r="V48" i="6"/>
  <c r="O47" i="6"/>
  <c r="AY5" i="7" l="1"/>
  <c r="AY8" i="7"/>
  <c r="AY9" i="7"/>
  <c r="AW5" i="7"/>
  <c r="AW6" i="7"/>
  <c r="AY6" i="7" s="1"/>
  <c r="AW7" i="7"/>
  <c r="AY7" i="7" s="1"/>
  <c r="AW8" i="7"/>
  <c r="AW9" i="7"/>
  <c r="AW10" i="7"/>
  <c r="AY10" i="7" s="1"/>
  <c r="AY4" i="7"/>
  <c r="AY11" i="7" s="1"/>
  <c r="AW4" i="7"/>
  <c r="AW11" i="7" s="1"/>
  <c r="C33" i="8" l="1"/>
  <c r="C11" i="8"/>
  <c r="D17" i="1" l="1"/>
  <c r="D15" i="1"/>
  <c r="D12" i="1"/>
  <c r="D11" i="1" l="1"/>
  <c r="D10" i="1"/>
  <c r="D7" i="1" l="1"/>
  <c r="D9" i="1" s="1"/>
  <c r="S9" i="1" s="1"/>
  <c r="T9" i="1" s="1"/>
  <c r="B28" i="5"/>
  <c r="M29" i="5"/>
  <c r="M30" i="5" s="1"/>
  <c r="L29" i="5"/>
  <c r="L30" i="5" s="1"/>
  <c r="K29" i="5"/>
  <c r="K30" i="5" s="1"/>
  <c r="J29" i="5"/>
  <c r="J30" i="5" s="1"/>
  <c r="I29" i="5"/>
  <c r="I30" i="5" s="1"/>
  <c r="H30" i="5"/>
  <c r="G29" i="5"/>
  <c r="G30" i="5" s="1"/>
  <c r="F29" i="5"/>
  <c r="F30" i="5" s="1"/>
  <c r="E29" i="5"/>
  <c r="E30" i="5" s="1"/>
  <c r="D29" i="5"/>
  <c r="D30" i="5" s="1"/>
  <c r="C29" i="5"/>
  <c r="C30" i="5" s="1"/>
  <c r="B29" i="5"/>
  <c r="B30" i="5" s="1"/>
  <c r="F31" i="4"/>
  <c r="F35" i="4" l="1"/>
  <c r="F36" i="4"/>
  <c r="D26" i="1"/>
  <c r="D16" i="1"/>
  <c r="D34" i="1"/>
  <c r="D36" i="1"/>
  <c r="D37" i="1"/>
  <c r="N31" i="3"/>
  <c r="N32" i="3" s="1"/>
  <c r="M31" i="3"/>
  <c r="M32" i="3" s="1"/>
  <c r="O13" i="1" s="1"/>
  <c r="L31" i="3"/>
  <c r="L32" i="3" s="1"/>
  <c r="N13" i="1" s="1"/>
  <c r="K31" i="3"/>
  <c r="K32" i="3" s="1"/>
  <c r="M13" i="1" s="1"/>
  <c r="J31" i="3"/>
  <c r="J32" i="3" s="1"/>
  <c r="L13" i="1" s="1"/>
  <c r="I31" i="3"/>
  <c r="I32" i="3" s="1"/>
  <c r="K13" i="1" s="1"/>
  <c r="H31" i="3"/>
  <c r="G31" i="3"/>
  <c r="G32" i="3" s="1"/>
  <c r="I13" i="1" s="1"/>
  <c r="F31" i="3"/>
  <c r="F32" i="3" s="1"/>
  <c r="G13" i="1" s="1"/>
  <c r="E31" i="3"/>
  <c r="E32" i="3" s="1"/>
  <c r="F13" i="1" s="1"/>
  <c r="D31" i="3"/>
  <c r="D32" i="3" s="1"/>
  <c r="C31" i="3"/>
  <c r="C32" i="3" s="1"/>
  <c r="N30" i="3"/>
  <c r="N37" i="3" s="1"/>
  <c r="M30" i="3"/>
  <c r="M37" i="3" s="1"/>
  <c r="K30" i="3"/>
  <c r="K37" i="3" s="1"/>
  <c r="J30" i="3"/>
  <c r="J37" i="3" s="1"/>
  <c r="I30" i="3"/>
  <c r="I37" i="3" s="1"/>
  <c r="H30" i="3"/>
  <c r="G30" i="3"/>
  <c r="G37" i="3" s="1"/>
  <c r="F30" i="3"/>
  <c r="F37" i="3" s="1"/>
  <c r="E30" i="3"/>
  <c r="E37" i="3" s="1"/>
  <c r="D30" i="3"/>
  <c r="D37" i="3" s="1"/>
  <c r="C30" i="3"/>
  <c r="C37" i="3" s="1"/>
  <c r="F37" i="4" l="1"/>
  <c r="H37" i="3"/>
  <c r="H32" i="3"/>
  <c r="J13" i="1" s="1"/>
  <c r="AA10" i="5"/>
  <c r="F40" i="4" l="1"/>
  <c r="F39" i="4"/>
  <c r="Z154" i="6"/>
  <c r="AA154" i="6"/>
  <c r="AA97" i="6" l="1"/>
  <c r="AA110" i="6" s="1"/>
  <c r="AA105" i="6"/>
  <c r="Z105" i="6"/>
  <c r="N44" i="3" l="1"/>
  <c r="Q22" i="4" l="1"/>
  <c r="M21" i="5" l="1"/>
  <c r="M22" i="5" s="1"/>
  <c r="M20" i="5"/>
  <c r="Z77" i="6" l="1"/>
  <c r="Z76" i="6"/>
  <c r="Z75" i="6"/>
  <c r="M44" i="3" l="1"/>
  <c r="P22" i="4"/>
  <c r="Y105" i="6" l="1"/>
  <c r="K21" i="5" l="1"/>
  <c r="K22" i="5" s="1"/>
  <c r="L21" i="5"/>
  <c r="L22" i="5" s="1"/>
  <c r="K20" i="5"/>
  <c r="L20" i="5"/>
  <c r="O22" i="4" l="1"/>
  <c r="L44" i="3" l="1"/>
  <c r="O87" i="6"/>
  <c r="O84" i="6"/>
  <c r="O81" i="6"/>
  <c r="O78" i="6"/>
  <c r="K44" i="3" l="1"/>
  <c r="J21" i="5" l="1"/>
  <c r="J22" i="5" s="1"/>
  <c r="J20" i="5"/>
  <c r="N22" i="4" l="1"/>
  <c r="W106" i="6" l="1"/>
  <c r="W108" i="6"/>
  <c r="X108" i="6" s="1"/>
  <c r="X105" i="6" s="1"/>
  <c r="W105" i="6" l="1"/>
  <c r="W64" i="6"/>
  <c r="X64" i="6" s="1"/>
  <c r="Y64" i="6" s="1"/>
  <c r="Z64" i="6" s="1"/>
  <c r="AA64" i="6" s="1"/>
  <c r="AB64" i="6" s="1"/>
  <c r="J44" i="3" l="1"/>
  <c r="M22" i="4" l="1"/>
  <c r="H12" i="7" l="1"/>
  <c r="I21" i="5" l="1"/>
  <c r="I22" i="5" s="1"/>
  <c r="I20" i="5"/>
  <c r="N6" i="9" l="1"/>
  <c r="M6" i="9"/>
  <c r="L6" i="9"/>
  <c r="K6" i="9"/>
  <c r="J6" i="9"/>
  <c r="I6" i="9"/>
  <c r="H6" i="9"/>
  <c r="G6" i="9"/>
  <c r="F6" i="9"/>
  <c r="E6" i="9"/>
  <c r="D6" i="9"/>
  <c r="C6" i="9"/>
  <c r="N5" i="9"/>
  <c r="M5" i="9"/>
  <c r="L5" i="9"/>
  <c r="K5" i="9"/>
  <c r="J5" i="9"/>
  <c r="J7" i="9" s="1"/>
  <c r="I5" i="9"/>
  <c r="I7" i="9" s="1"/>
  <c r="H5" i="9"/>
  <c r="G5" i="9"/>
  <c r="G7" i="9" s="1"/>
  <c r="F5" i="9"/>
  <c r="E5" i="9"/>
  <c r="E7" i="9" s="1"/>
  <c r="D5" i="9"/>
  <c r="D7" i="9" s="1"/>
  <c r="C5" i="9"/>
  <c r="C7" i="9" s="1"/>
  <c r="L7" i="9" l="1"/>
  <c r="N7" i="9"/>
  <c r="M7" i="9"/>
  <c r="K7" i="9"/>
  <c r="H7" i="9"/>
  <c r="F7" i="9"/>
  <c r="E55" i="8"/>
  <c r="E54" i="8"/>
  <c r="E51" i="8"/>
  <c r="E52" i="8"/>
  <c r="E53" i="8"/>
  <c r="E50" i="8"/>
  <c r="C50" i="8"/>
  <c r="O7" i="9" l="1"/>
  <c r="P7" i="9" s="1"/>
  <c r="E56" i="8"/>
  <c r="S66" i="7" l="1"/>
  <c r="H7" i="8" s="1"/>
  <c r="T66" i="7"/>
  <c r="H29" i="8" s="1"/>
  <c r="H52" i="8" s="1"/>
  <c r="U66" i="7"/>
  <c r="V66" i="7"/>
  <c r="W66" i="7"/>
  <c r="X66" i="7"/>
  <c r="AV66" i="7"/>
  <c r="AU66" i="7"/>
  <c r="AT66" i="7"/>
  <c r="AS66" i="7"/>
  <c r="AR66" i="7"/>
  <c r="H32" i="8" s="1"/>
  <c r="AQ66" i="7"/>
  <c r="AN66" i="7"/>
  <c r="AM66" i="7"/>
  <c r="AL66" i="7"/>
  <c r="AK66" i="7"/>
  <c r="AJ66" i="7"/>
  <c r="H31" i="8" s="1"/>
  <c r="AI66" i="7"/>
  <c r="H9" i="8" s="1"/>
  <c r="AF66" i="7"/>
  <c r="AE66" i="7"/>
  <c r="AD66" i="7"/>
  <c r="AC66" i="7"/>
  <c r="AB66" i="7"/>
  <c r="H30" i="8" s="1"/>
  <c r="H53" i="8" s="1"/>
  <c r="AA66" i="7"/>
  <c r="H8" i="8" s="1"/>
  <c r="P66" i="7"/>
  <c r="O66" i="7"/>
  <c r="N66" i="7"/>
  <c r="M66" i="7"/>
  <c r="L66" i="7"/>
  <c r="H28" i="8" s="1"/>
  <c r="K66" i="7"/>
  <c r="H6" i="8" s="1"/>
  <c r="H66" i="7"/>
  <c r="G66" i="7"/>
  <c r="F66" i="7"/>
  <c r="E66" i="7"/>
  <c r="D66" i="7"/>
  <c r="H27" i="8" s="1"/>
  <c r="H50" i="8" s="1"/>
  <c r="C66" i="7"/>
  <c r="H5" i="8" s="1"/>
  <c r="H51" i="8" l="1"/>
  <c r="H33" i="8"/>
  <c r="H54" i="8"/>
  <c r="AV55" i="7"/>
  <c r="AU55" i="7"/>
  <c r="AT55" i="7"/>
  <c r="AS55" i="7"/>
  <c r="AR55" i="7"/>
  <c r="G32" i="8" s="1"/>
  <c r="AQ55" i="7"/>
  <c r="AN55" i="7"/>
  <c r="AM55" i="7"/>
  <c r="AL55" i="7"/>
  <c r="AK55" i="7"/>
  <c r="AJ55" i="7"/>
  <c r="G31" i="8" s="1"/>
  <c r="AI55" i="7"/>
  <c r="G9" i="8" s="1"/>
  <c r="AF55" i="7"/>
  <c r="AE55" i="7"/>
  <c r="AD55" i="7"/>
  <c r="AC55" i="7"/>
  <c r="AB55" i="7"/>
  <c r="G30" i="8" s="1"/>
  <c r="AA55" i="7"/>
  <c r="G8" i="8" s="1"/>
  <c r="X55" i="7"/>
  <c r="W55" i="7"/>
  <c r="V55" i="7"/>
  <c r="U55" i="7"/>
  <c r="T55" i="7"/>
  <c r="G29" i="8" s="1"/>
  <c r="S55" i="7"/>
  <c r="G7" i="8" s="1"/>
  <c r="P55" i="7"/>
  <c r="O55" i="7"/>
  <c r="N55" i="7"/>
  <c r="M55" i="7"/>
  <c r="L55" i="7"/>
  <c r="G28" i="8" s="1"/>
  <c r="K55" i="7"/>
  <c r="G6" i="8" s="1"/>
  <c r="H55" i="7"/>
  <c r="G55" i="7"/>
  <c r="F55" i="7"/>
  <c r="E55" i="7"/>
  <c r="D55" i="7"/>
  <c r="G27" i="8" s="1"/>
  <c r="C55" i="7"/>
  <c r="G5" i="8" s="1"/>
  <c r="V105" i="6"/>
  <c r="G51" i="8" l="1"/>
  <c r="G55" i="8"/>
  <c r="H10" i="8"/>
  <c r="G10" i="8"/>
  <c r="G53" i="8"/>
  <c r="G11" i="8"/>
  <c r="G33" i="8"/>
  <c r="G50" i="8"/>
  <c r="G52" i="8"/>
  <c r="G54" i="8"/>
  <c r="V65" i="6"/>
  <c r="W65" i="6" s="1"/>
  <c r="X65" i="6" s="1"/>
  <c r="Y65" i="6" s="1"/>
  <c r="Z65" i="6" s="1"/>
  <c r="AA65" i="6" s="1"/>
  <c r="AC65" i="6" s="1"/>
  <c r="AD65" i="6" s="1"/>
  <c r="AE65" i="6" s="1"/>
  <c r="AF65" i="6" s="1"/>
  <c r="AG65" i="6" s="1"/>
  <c r="AH65" i="6" s="1"/>
  <c r="V63" i="6"/>
  <c r="W63" i="6" s="1"/>
  <c r="X63" i="6" s="1"/>
  <c r="Y63" i="6" s="1"/>
  <c r="Z63" i="6" s="1"/>
  <c r="AA63" i="6" s="1"/>
  <c r="I44" i="3"/>
  <c r="H44" i="3"/>
  <c r="H11" i="8" l="1"/>
  <c r="H55" i="8"/>
  <c r="H56" i="8" s="1"/>
  <c r="G56" i="8"/>
  <c r="AV44" i="7"/>
  <c r="AU44" i="7"/>
  <c r="AT44" i="7"/>
  <c r="AS44" i="7"/>
  <c r="AR44" i="7"/>
  <c r="F32" i="8" s="1"/>
  <c r="AQ44" i="7"/>
  <c r="AN44" i="7"/>
  <c r="AM44" i="7"/>
  <c r="AL44" i="7"/>
  <c r="AK44" i="7"/>
  <c r="AJ44" i="7"/>
  <c r="F31" i="8" s="1"/>
  <c r="AI44" i="7"/>
  <c r="AF44" i="7"/>
  <c r="AE44" i="7"/>
  <c r="AD44" i="7"/>
  <c r="AC44" i="7"/>
  <c r="AB44" i="7"/>
  <c r="F30" i="8" s="1"/>
  <c r="AA44" i="7"/>
  <c r="F8" i="8" s="1"/>
  <c r="X44" i="7"/>
  <c r="W44" i="7"/>
  <c r="V44" i="7"/>
  <c r="U44" i="7"/>
  <c r="T44" i="7"/>
  <c r="F29" i="8" s="1"/>
  <c r="S44" i="7"/>
  <c r="F7" i="8" s="1"/>
  <c r="P44" i="7"/>
  <c r="O44" i="7"/>
  <c r="N44" i="7"/>
  <c r="M44" i="7"/>
  <c r="L44" i="7"/>
  <c r="F28" i="8" s="1"/>
  <c r="K44" i="7"/>
  <c r="F6" i="8" s="1"/>
  <c r="H44" i="7"/>
  <c r="G44" i="7"/>
  <c r="F44" i="7"/>
  <c r="E44" i="7"/>
  <c r="D44" i="7"/>
  <c r="F27" i="8" s="1"/>
  <c r="C44" i="7"/>
  <c r="F5" i="8" s="1"/>
  <c r="F33" i="8" l="1"/>
  <c r="F50" i="8"/>
  <c r="F52" i="8"/>
  <c r="F51" i="8"/>
  <c r="F53" i="8"/>
  <c r="F55" i="8"/>
  <c r="AU33" i="7"/>
  <c r="AT33" i="7"/>
  <c r="AS33" i="7"/>
  <c r="AR33" i="7"/>
  <c r="AQ33" i="7"/>
  <c r="F10" i="8" s="1"/>
  <c r="AN33" i="7"/>
  <c r="AM33" i="7"/>
  <c r="AL33" i="7"/>
  <c r="AK33" i="7"/>
  <c r="AJ33" i="7"/>
  <c r="AI33" i="7"/>
  <c r="F9" i="8" s="1"/>
  <c r="F54" i="8" s="1"/>
  <c r="AF33" i="7"/>
  <c r="AE33" i="7"/>
  <c r="AD33" i="7"/>
  <c r="AC33" i="7"/>
  <c r="AB33" i="7"/>
  <c r="AA33" i="7"/>
  <c r="X33" i="7"/>
  <c r="W33" i="7"/>
  <c r="V33" i="7"/>
  <c r="U33" i="7"/>
  <c r="T33" i="7"/>
  <c r="S33" i="7"/>
  <c r="P33" i="7"/>
  <c r="O33" i="7"/>
  <c r="N33" i="7"/>
  <c r="M33" i="7"/>
  <c r="L33" i="7"/>
  <c r="K33" i="7"/>
  <c r="H33" i="7"/>
  <c r="G33" i="7"/>
  <c r="F33" i="7"/>
  <c r="E33" i="7"/>
  <c r="D33" i="7"/>
  <c r="C33" i="7"/>
  <c r="F56" i="8" l="1"/>
  <c r="F11" i="8"/>
  <c r="F12" i="8" s="1"/>
  <c r="AR22" i="7"/>
  <c r="AS22" i="7"/>
  <c r="AT22" i="7"/>
  <c r="AU22" i="7"/>
  <c r="D32" i="8" l="1"/>
  <c r="D55" i="8" s="1"/>
  <c r="AQ22" i="7"/>
  <c r="D10" i="8" s="1"/>
  <c r="AV22" i="7"/>
  <c r="AJ22" i="7"/>
  <c r="AK22" i="7"/>
  <c r="AL22" i="7"/>
  <c r="AM22" i="7"/>
  <c r="AI22" i="7"/>
  <c r="D9" i="8" s="1"/>
  <c r="AN22" i="7"/>
  <c r="AB22" i="7"/>
  <c r="AC22" i="7"/>
  <c r="AD22" i="7"/>
  <c r="AE22" i="7"/>
  <c r="AF22" i="7"/>
  <c r="S22" i="7"/>
  <c r="D7" i="8" s="1"/>
  <c r="T22" i="7"/>
  <c r="U22" i="7"/>
  <c r="V22" i="7"/>
  <c r="W22" i="7"/>
  <c r="X22" i="7"/>
  <c r="K22" i="7"/>
  <c r="D6" i="8" s="1"/>
  <c r="L22" i="7"/>
  <c r="M22" i="7"/>
  <c r="N22" i="7"/>
  <c r="O22" i="7"/>
  <c r="P22" i="7"/>
  <c r="C22" i="7"/>
  <c r="D5" i="8" s="1"/>
  <c r="D22" i="7"/>
  <c r="E22" i="7"/>
  <c r="F22" i="7"/>
  <c r="G22" i="7"/>
  <c r="H22" i="7"/>
  <c r="AA22" i="7"/>
  <c r="D8" i="8" s="1"/>
  <c r="D30" i="8" l="1"/>
  <c r="D53" i="8" s="1"/>
  <c r="D11" i="8"/>
  <c r="D12" i="8" s="1"/>
  <c r="D51" i="8"/>
  <c r="D28" i="8"/>
  <c r="D27" i="8"/>
  <c r="D33" i="8" s="1"/>
  <c r="D52" i="8"/>
  <c r="D29" i="8"/>
  <c r="D31" i="8"/>
  <c r="D54" i="8" s="1"/>
  <c r="AQ11" i="7"/>
  <c r="AR11" i="7"/>
  <c r="C55" i="8" s="1"/>
  <c r="AS11" i="7"/>
  <c r="AT11" i="7"/>
  <c r="AU11" i="7"/>
  <c r="AV11" i="7"/>
  <c r="S11" i="7"/>
  <c r="T11" i="7"/>
  <c r="C52" i="8" s="1"/>
  <c r="U11" i="7"/>
  <c r="V11" i="7"/>
  <c r="W11" i="7"/>
  <c r="X11" i="7"/>
  <c r="AI11" i="7"/>
  <c r="AJ11" i="7"/>
  <c r="C54" i="8" s="1"/>
  <c r="AK11" i="7"/>
  <c r="AL11" i="7"/>
  <c r="AM11" i="7"/>
  <c r="AN11" i="7"/>
  <c r="AA11" i="7"/>
  <c r="AB11" i="7"/>
  <c r="C53" i="8" s="1"/>
  <c r="AC11" i="7"/>
  <c r="AD11" i="7"/>
  <c r="AE11" i="7"/>
  <c r="AF11" i="7"/>
  <c r="K11" i="7"/>
  <c r="L11" i="7"/>
  <c r="C51" i="8" s="1"/>
  <c r="M11" i="7"/>
  <c r="N11" i="7"/>
  <c r="O11" i="7"/>
  <c r="P11" i="7"/>
  <c r="F11" i="7"/>
  <c r="G11" i="7"/>
  <c r="C11" i="7"/>
  <c r="D11" i="7"/>
  <c r="E11" i="7"/>
  <c r="H11" i="7"/>
  <c r="D50" i="8" l="1"/>
  <c r="D56" i="8" s="1"/>
  <c r="C56" i="8"/>
  <c r="L22" i="4" l="1"/>
  <c r="H21" i="5" l="1"/>
  <c r="H22" i="5" s="1"/>
  <c r="H20" i="5"/>
  <c r="T134" i="6" l="1"/>
  <c r="U134" i="6"/>
  <c r="G153" i="6" l="1"/>
  <c r="H153" i="6"/>
  <c r="U105" i="6" l="1"/>
  <c r="K22" i="4" l="1"/>
  <c r="O93" i="6" l="1"/>
  <c r="O94" i="6"/>
  <c r="O95" i="6"/>
  <c r="O96" i="6"/>
  <c r="O100" i="6" s="1"/>
  <c r="O92" i="6"/>
  <c r="O75" i="6"/>
  <c r="O88" i="6" s="1"/>
  <c r="O97" i="6" l="1"/>
  <c r="G21" i="5"/>
  <c r="G22" i="5" s="1"/>
  <c r="G20" i="5"/>
  <c r="T105" i="6" l="1"/>
  <c r="G44" i="3" l="1"/>
  <c r="F22" i="5"/>
  <c r="F21" i="5"/>
  <c r="F20" i="5"/>
  <c r="J22" i="4" l="1"/>
  <c r="S103" i="6" l="1"/>
  <c r="Q103" i="6"/>
  <c r="R103" i="6"/>
  <c r="P103" i="6" l="1"/>
  <c r="P70" i="6" l="1"/>
  <c r="Q70" i="6" s="1"/>
  <c r="R70" i="6" s="1"/>
  <c r="S70" i="6" s="1"/>
  <c r="T70" i="6" s="1"/>
  <c r="U70" i="6" s="1"/>
  <c r="V70" i="6" s="1"/>
  <c r="W70" i="6" s="1"/>
  <c r="X70" i="6" s="1"/>
  <c r="Y70" i="6" s="1"/>
  <c r="Z70" i="6" s="1"/>
  <c r="AA70" i="6" s="1"/>
  <c r="P57" i="6"/>
  <c r="Q57" i="6" s="1"/>
  <c r="R57" i="6" s="1"/>
  <c r="S57" i="6" s="1"/>
  <c r="T57" i="6" s="1"/>
  <c r="U57" i="6" s="1"/>
  <c r="V57" i="6" s="1"/>
  <c r="W57" i="6" s="1"/>
  <c r="X57" i="6" s="1"/>
  <c r="Y57" i="6" s="1"/>
  <c r="Z57" i="6" s="1"/>
  <c r="AA57" i="6" s="1"/>
  <c r="C21" i="5"/>
  <c r="C22" i="5" s="1"/>
  <c r="D21" i="5"/>
  <c r="D22" i="5" s="1"/>
  <c r="E21" i="5"/>
  <c r="E22" i="5" s="1"/>
  <c r="B21" i="5"/>
  <c r="B22" i="5" s="1"/>
  <c r="B13" i="5"/>
  <c r="E20" i="5"/>
  <c r="C20" i="5"/>
  <c r="D20" i="5"/>
  <c r="F10" i="9"/>
  <c r="F22" i="4" l="1"/>
  <c r="G22" i="4"/>
  <c r="D9" i="9" s="1"/>
  <c r="H22" i="4"/>
  <c r="I22" i="4"/>
  <c r="E9" i="9" l="1"/>
  <c r="E10" i="9"/>
  <c r="D10" i="9"/>
  <c r="D11" i="9"/>
  <c r="C10" i="9" l="1"/>
  <c r="E11" i="9"/>
  <c r="F9" i="9"/>
  <c r="F11" i="9"/>
  <c r="F13" i="4"/>
  <c r="G13" i="4"/>
  <c r="H13" i="4"/>
  <c r="I13" i="4"/>
  <c r="J13" i="4"/>
  <c r="K13" i="4"/>
  <c r="L13" i="4"/>
  <c r="M13" i="4"/>
  <c r="O13" i="4"/>
  <c r="P13" i="4"/>
  <c r="Q13" i="4"/>
  <c r="C13" i="5" l="1"/>
  <c r="D13" i="5"/>
  <c r="E13" i="5"/>
  <c r="E14" i="5" s="1"/>
  <c r="F13" i="5"/>
  <c r="F14" i="5" s="1"/>
  <c r="G13" i="5"/>
  <c r="H13" i="5"/>
  <c r="J13" i="5"/>
  <c r="J14" i="5" s="1"/>
  <c r="K13" i="5"/>
  <c r="K14" i="5" s="1"/>
  <c r="L13" i="5"/>
  <c r="M13" i="5"/>
  <c r="M14" i="5" s="1"/>
  <c r="C14" i="5"/>
  <c r="D14" i="5"/>
  <c r="G14" i="5"/>
  <c r="H14" i="5"/>
  <c r="L14" i="5"/>
  <c r="B14" i="5"/>
  <c r="D44" i="3"/>
  <c r="E44" i="3"/>
  <c r="F44" i="3"/>
  <c r="C44" i="3"/>
  <c r="C9" i="9" l="1"/>
  <c r="B20" i="5"/>
  <c r="C11" i="9" l="1"/>
  <c r="O11" i="9" s="1"/>
  <c r="P11" i="9" s="1"/>
  <c r="N144" i="6" l="1"/>
  <c r="M144" i="6"/>
  <c r="L144" i="6"/>
  <c r="N143" i="6"/>
  <c r="M143" i="6"/>
  <c r="L143" i="6"/>
  <c r="N141" i="6"/>
  <c r="M141" i="6"/>
  <c r="L141" i="6"/>
  <c r="N136" i="6"/>
  <c r="M136" i="6"/>
  <c r="L136" i="6"/>
  <c r="N131" i="6"/>
  <c r="M131" i="6"/>
  <c r="L131" i="6"/>
  <c r="N128" i="6"/>
  <c r="M128" i="6"/>
  <c r="L128" i="6"/>
  <c r="N127" i="6"/>
  <c r="M127" i="6"/>
  <c r="L127" i="6"/>
  <c r="N126" i="6"/>
  <c r="M126" i="6"/>
  <c r="L126" i="6"/>
  <c r="N125" i="6"/>
  <c r="M125" i="6"/>
  <c r="L125" i="6"/>
  <c r="N124" i="6"/>
  <c r="M124" i="6"/>
  <c r="L124" i="6"/>
  <c r="N122" i="6"/>
  <c r="M122" i="6"/>
  <c r="L122" i="6"/>
  <c r="N121" i="6"/>
  <c r="M121" i="6"/>
  <c r="L121" i="6"/>
  <c r="N120" i="6"/>
  <c r="M120" i="6"/>
  <c r="L120" i="6"/>
  <c r="N119" i="6"/>
  <c r="M119" i="6"/>
  <c r="L119" i="6"/>
  <c r="L135" i="6" l="1"/>
  <c r="M135" i="6"/>
  <c r="N135" i="6"/>
  <c r="H76" i="6" l="1"/>
  <c r="H77" i="6"/>
  <c r="N103" i="6" l="1"/>
  <c r="N65" i="6"/>
  <c r="P65" i="6" s="1"/>
  <c r="Q65" i="6" s="1"/>
  <c r="R65" i="6" s="1"/>
  <c r="S65" i="6" s="1"/>
  <c r="N64" i="6"/>
  <c r="P64" i="6" s="1"/>
  <c r="Q64" i="6" s="1"/>
  <c r="R64" i="6" s="1"/>
  <c r="S64" i="6" s="1"/>
  <c r="N63" i="6"/>
  <c r="P63" i="6" s="1"/>
  <c r="Q63" i="6" s="1"/>
  <c r="R63" i="6" s="1"/>
  <c r="S63" i="6" s="1"/>
  <c r="N58" i="6"/>
  <c r="P58" i="6" l="1"/>
  <c r="Q58" i="6" s="1"/>
  <c r="R58" i="6" s="1"/>
  <c r="S58" i="6" s="1"/>
  <c r="T58" i="6" s="1"/>
  <c r="U58" i="6" s="1"/>
  <c r="V58" i="6" s="1"/>
  <c r="W58" i="6" s="1"/>
  <c r="X58" i="6" s="1"/>
  <c r="Y58" i="6" s="1"/>
  <c r="Z58" i="6" s="1"/>
  <c r="O59" i="6"/>
  <c r="O60" i="6" s="1"/>
  <c r="N41" i="3" l="1"/>
  <c r="M103" i="6" l="1"/>
  <c r="O103" i="6" s="1"/>
  <c r="O102" i="6" s="1"/>
  <c r="L103" i="6" l="1"/>
  <c r="L41" i="3" l="1"/>
  <c r="L65" i="6"/>
  <c r="L64" i="6"/>
  <c r="L63" i="6"/>
  <c r="K103" i="6" l="1"/>
  <c r="K41" i="3" l="1"/>
  <c r="J41" i="3"/>
  <c r="N11" i="4"/>
  <c r="N13" i="4" s="1"/>
  <c r="J91" i="6" l="1"/>
  <c r="I11" i="5" l="1"/>
  <c r="I10" i="5"/>
  <c r="J54" i="6"/>
  <c r="J53" i="6"/>
  <c r="J52" i="6"/>
  <c r="J50" i="6"/>
  <c r="J49" i="6" s="1"/>
  <c r="I13" i="5" l="1"/>
  <c r="I14" i="5" s="1"/>
  <c r="J103" i="6" l="1"/>
  <c r="H46" i="6"/>
  <c r="I46" i="6" s="1"/>
  <c r="J46" i="6" s="1"/>
  <c r="K46" i="6" s="1"/>
  <c r="M12" i="5" l="1"/>
  <c r="L12" i="5"/>
  <c r="K12" i="5"/>
  <c r="J12" i="5"/>
  <c r="I12" i="5"/>
  <c r="H12" i="5" l="1"/>
  <c r="G12" i="5"/>
  <c r="F12" i="5"/>
  <c r="E12" i="5"/>
  <c r="D12" i="5"/>
  <c r="C12" i="5"/>
  <c r="B12" i="5"/>
  <c r="I64" i="6" l="1"/>
  <c r="I41" i="3" l="1"/>
  <c r="I103" i="6"/>
  <c r="H103" i="6" l="1"/>
  <c r="H41" i="3" l="1"/>
  <c r="C52" i="4" l="1"/>
  <c r="B52" i="4"/>
  <c r="G128" i="6" l="1"/>
  <c r="G127" i="6"/>
  <c r="G126" i="6"/>
  <c r="G124" i="6"/>
  <c r="G123" i="6"/>
  <c r="G122" i="6"/>
  <c r="G121" i="6"/>
  <c r="G120" i="6"/>
  <c r="G119" i="6"/>
  <c r="G125" i="6" l="1"/>
  <c r="G91" i="6" l="1"/>
  <c r="G90" i="6"/>
  <c r="G41" i="3" l="1"/>
  <c r="G103" i="6"/>
  <c r="G70" i="6"/>
  <c r="H70" i="6" s="1"/>
  <c r="I70" i="6" s="1"/>
  <c r="J70" i="6" s="1"/>
  <c r="K70" i="6" s="1"/>
  <c r="L70" i="6" s="1"/>
  <c r="G65" i="6"/>
  <c r="H65" i="6" s="1"/>
  <c r="G64" i="6"/>
  <c r="H64" i="6" s="1"/>
  <c r="G63" i="6"/>
  <c r="H63" i="6" s="1"/>
  <c r="G58" i="6"/>
  <c r="H58" i="6" s="1"/>
  <c r="I58" i="6" s="1"/>
  <c r="J58" i="6" s="1"/>
  <c r="K58" i="6" s="1"/>
  <c r="L58" i="6" s="1"/>
  <c r="G57" i="6"/>
  <c r="H57" i="6" s="1"/>
  <c r="I57" i="6" s="1"/>
  <c r="J57" i="6" s="1"/>
  <c r="K57" i="6" s="1"/>
  <c r="L57" i="6" s="1"/>
  <c r="F41" i="3" l="1"/>
  <c r="E41" i="3" l="1"/>
  <c r="D41" i="3" l="1"/>
  <c r="D117" i="6" l="1"/>
  <c r="D70" i="6"/>
  <c r="D58" i="6"/>
  <c r="D57" i="6"/>
</calcChain>
</file>

<file path=xl/comments1.xml><?xml version="1.0" encoding="utf-8"?>
<comments xmlns="http://schemas.openxmlformats.org/spreadsheetml/2006/main">
  <authors>
    <author>75557</author>
  </authors>
  <commentList>
    <comment ref="C48" authorId="0" shapeId="0">
      <text>
        <r>
          <rPr>
            <sz val="9"/>
            <color indexed="81"/>
            <rFont val="Tahoma"/>
            <family val="2"/>
          </rPr>
          <t xml:space="preserve">NO FUNCIONA EL MEDIDOR  DE LA CFE
</t>
        </r>
      </text>
    </comment>
  </commentList>
</comments>
</file>

<file path=xl/sharedStrings.xml><?xml version="1.0" encoding="utf-8"?>
<sst xmlns="http://schemas.openxmlformats.org/spreadsheetml/2006/main" count="1721" uniqueCount="421">
  <si>
    <t>COMITÉ MUNICIPAL DE AGUA POTABLE Y ALCANTARILLADO</t>
  </si>
  <si>
    <t>MUNICIPIO DE SAN DIEGO DE LA UNION, GUANAJUATO</t>
  </si>
  <si>
    <t>INDICADORES</t>
  </si>
  <si>
    <t>FORMULA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</si>
  <si>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</si>
  <si>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</si>
  <si>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</si>
  <si>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</si>
  <si>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</si>
  <si>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</si>
  <si>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</si>
  <si>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</si>
  <si>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</si>
  <si>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</si>
  <si>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</si>
  <si>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</si>
  <si>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EFICIENCIA FISICA</t>
  </si>
  <si>
    <t>EFICIENCIA COMERCIAL</t>
  </si>
  <si>
    <t>EFICIENCIA GLOBAL</t>
  </si>
  <si>
    <t>COBERTURA AGUA POTABLE</t>
  </si>
  <si>
    <t>( VIVIENDAS HABITADAS CON AGUA ENTUBADA/ VIVIENDAS HABITADAS )</t>
  </si>
  <si>
    <t>COBERTURA DE ALCANTARILLADO</t>
  </si>
  <si>
    <t>( VIVIENDAS HABITADAS CON DREANAJE/ VIVIENDAS HABITADAS )</t>
  </si>
  <si>
    <t>( VOL.TOTAL EXTRAIDO/POBLACION SERVIDA )( LT/HAB/DIA)</t>
  </si>
  <si>
    <t>PERDIDAS DE AGUA NO CONTABILIZADAS</t>
  </si>
  <si>
    <t>( VOL. NO FACTURADO/VOL. TOTAL EXTRAIDO )</t>
  </si>
  <si>
    <t>COBERTURA DE MACROMEDICIÓN</t>
  </si>
  <si>
    <t>( NUM DE FUENTES DE ABAST  CON MACROMEDIDOR/ NUM DE FUENTES )</t>
  </si>
  <si>
    <t>COBERTURA DE MICROMEDICIÓN</t>
  </si>
  <si>
    <t>( TOMAS CON MICROMEDIDOR FUCNIONANDO / TOMAS TOTALES DE AGUA )</t>
  </si>
  <si>
    <t>PRECIO DEL AGUA</t>
  </si>
  <si>
    <t>( INGRESOS POR SERVICIO DE AGUA/VOL. FACTURADO TOTAL )</t>
  </si>
  <si>
    <t>CARTERA VENCIDA</t>
  </si>
  <si>
    <t>NUMERO DE EMPLEADOS POR CADA 1000 TOMAS</t>
  </si>
  <si>
    <t>TOMAS CON SERVICIO CONTINUO</t>
  </si>
  <si>
    <t>% REPORTES U ORDENES ATENDIDAS</t>
  </si>
  <si>
    <t>( REPORTES ATENDIDOS/REPORTES RECIBIDOS )</t>
  </si>
  <si>
    <t>DISTRIBUCION DEL CONSUMO</t>
  </si>
  <si>
    <t>( VOL. FACTURADO POR USO/ VOL. FACT TOTAL )</t>
  </si>
  <si>
    <t>DOMESTICA</t>
  </si>
  <si>
    <t>COMERCIAL</t>
  </si>
  <si>
    <t>INDUSTRIAL</t>
  </si>
  <si>
    <t>MIXTA</t>
  </si>
  <si>
    <t>EDIFICIOS PUBLICOS</t>
  </si>
  <si>
    <t>usuarios que hicieron pago anual</t>
  </si>
  <si>
    <t>EMPLEADOS ADMINISTRATIVOS</t>
  </si>
  <si>
    <t>EMPLEADOS AGUA POTABLE</t>
  </si>
  <si>
    <t>EMPLEADOS DRENAJE SANITARIO</t>
  </si>
  <si>
    <t>EMPLEADOS TRATAMIENTO  DE AGUA</t>
  </si>
  <si>
    <t>ingreso total por m3 extraido</t>
  </si>
  <si>
    <t>VOLUMEN EXTRAIDO</t>
  </si>
  <si>
    <t>VOLUMEN FACTURADO</t>
  </si>
  <si>
    <t>COMITÉ MUNICIPAL DE AGUA POTABLE Y ALCANTARILLADO DE SAN DIEGO DE LA UNIÓN, GUANAJUATO.</t>
  </si>
  <si>
    <t>ENTRADA</t>
  </si>
  <si>
    <t>SALIDA</t>
  </si>
  <si>
    <t>SISTEMA DE INFORMACION DE ORGANISMOS OPERADORES "SIOO" 2017</t>
  </si>
  <si>
    <t>DATOS GENERALES</t>
  </si>
  <si>
    <t>NOMBRE OFICIAL DEL ORGANISMO OPERADOR</t>
  </si>
  <si>
    <t>COMITÉ MUNICIPAL DE AGUA POTABLE Y ALCANTARILLADO DE SAN DIEGO DE LA UNIÓN GUNAJUATO</t>
  </si>
  <si>
    <t>PRESIDENTE DE ORGANISMO OPERADOR</t>
  </si>
  <si>
    <t>PROF. JUAN MANUEL ORNELAS RIVAS</t>
  </si>
  <si>
    <t>DIRECTOR O ADMINISTRADOR DEL ORGANISMO OPERADOR</t>
  </si>
  <si>
    <t>RESPONSABLE DE REPORTAR INFORMACION</t>
  </si>
  <si>
    <t>JORGE ARMANDO RIVAS DUARTE</t>
  </si>
  <si>
    <t>SITUACION JURIDICA DEL ORGANISMO OPERADOR</t>
  </si>
  <si>
    <t>ORGANISMO PUBLICO DESCENTRALIZADO</t>
  </si>
  <si>
    <t>DOMICILIO DEL ORGANISMO OPERADOR</t>
  </si>
  <si>
    <t>CALLE MIGUEL HIDALGO Nº 12, ZONA CENTRO,CP 37850</t>
  </si>
  <si>
    <t>TELEFONO</t>
  </si>
  <si>
    <t>418-6840197 Y 6841019 EXT. 14</t>
  </si>
  <si>
    <t>FAX</t>
  </si>
  <si>
    <t>N/A</t>
  </si>
  <si>
    <t>DIRECCION DE CORREO ELECTRONICO</t>
  </si>
  <si>
    <t>comercial@sandiegocmapas.com</t>
  </si>
  <si>
    <t>RFC</t>
  </si>
  <si>
    <t>CMA920401AV2</t>
  </si>
  <si>
    <t>ENERO-FEBRERO</t>
  </si>
  <si>
    <t>DATOS TECNICOS</t>
  </si>
  <si>
    <t>VOLUMEN ASIGNADO POR LA CONAGUA</t>
  </si>
  <si>
    <t>TITULOS DE CONCESIÓN DE AGUAS NACIONALES</t>
  </si>
  <si>
    <t>OBRAS DE CAPTACION REGISTRADAS EN LOS TITULOS DE CONCESION</t>
  </si>
  <si>
    <t>CAPACIDAD DE EXTRACCION INSTALADA EN FUENTES SUBTERRANEAS</t>
  </si>
  <si>
    <t>CAPACIDAD DE EXTRACCION INSTALADA EN FUENTES SUPERFICIALES</t>
  </si>
  <si>
    <t>OBRAS DE CAPTACION SUBTERRANEAS</t>
  </si>
  <si>
    <t>OBRAS DE CAPTACION SUPERFICIALES</t>
  </si>
  <si>
    <t>OBRAS DE CAPTACION CON MACROMEDIDOR</t>
  </si>
  <si>
    <t>OBRAS DE CAPTACION CON MACROMEDIDOR FUNCIONANDO</t>
  </si>
  <si>
    <t>VOLUMEN EXTRAIDO DE FUENTES SUBTERRANEAS</t>
  </si>
  <si>
    <t>VOLUMEN EXTRAIDO DE FUENTES SUPERFICIALES</t>
  </si>
  <si>
    <t>VOLUMEN EXTRAIDO DE FUENTES SUBTERRANEAS MEDIDO</t>
  </si>
  <si>
    <t>VOLUMEN EXTRAIDO DE FUENTES SUPERFICIALES MEDIDO</t>
  </si>
  <si>
    <t>NIVEL ESTATICO PROMEDIO DE LAS OBRAS DE CAPTACION SUBTERRANEAS</t>
  </si>
  <si>
    <t>NIVEL DINAMICO DE LAS OBRAS DE CAPTACION SUBTERRANEAS</t>
  </si>
  <si>
    <t>VOLUMEN DE REGULARIZACION EN TANQUES</t>
  </si>
  <si>
    <t>955 M3</t>
  </si>
  <si>
    <t>TANQUES INSTALADOS</t>
  </si>
  <si>
    <t>TANQUES DE REGULARIZACION</t>
  </si>
  <si>
    <t>OBRAS DE CAPTACION CON EQUIPO DE DESINFECCION OPERANDO</t>
  </si>
  <si>
    <t>PLANTAS POTABILIZADORAS</t>
  </si>
  <si>
    <t>PLANTAS POTABILIZADORAS OPERANDO</t>
  </si>
  <si>
    <t>VOLUMEN DE AGUA DESINFECTADA</t>
  </si>
  <si>
    <t>VOLUMEN DE AGUA POTABILIZADA</t>
  </si>
  <si>
    <t>LONGITUD DE LA RED DE CONDUCCION Y DISTRIBUCION DE AGUA POTABLE</t>
  </si>
  <si>
    <t>FUGAS EN EL SISTEMA DE DISTRIBUCION DE AGUA POTABLE</t>
  </si>
  <si>
    <t>LONGITUD DE LA RED DEL SISTEMA DE DRENAJE SANITARIO</t>
  </si>
  <si>
    <t>FALLAS EN EL SISTEMA DE DRENAJE SANITARIO</t>
  </si>
  <si>
    <t>RESPUESTA EN ATENCION A FUGAS</t>
  </si>
  <si>
    <t>TOMAS CON SERVICIO TANDEADO</t>
  </si>
  <si>
    <t>CONSUMO DE ENERGIA ELECTRICA EN EQUIPOS DE BOMBEO DE FUENTES DE ABASTECIMIENTO</t>
  </si>
  <si>
    <t>DATOS TECNICOS SANEAMIENTO</t>
  </si>
  <si>
    <t>VOLUMEN DE AGUA RESIDUAL GENERADA</t>
  </si>
  <si>
    <t>VOLUMEN DE AGUA RESIDUAL A LA ENTRADA EN PLANTAS</t>
  </si>
  <si>
    <t>CAPACIDAD DE TRATAMIENTO INSTALADA</t>
  </si>
  <si>
    <t>VOLUMEN DE AGUA TRATADO</t>
  </si>
  <si>
    <t>VOLUMEN DE AGUA REUSADA (VOLUMEN DE VENTA DE AGUA TRATADA)</t>
  </si>
  <si>
    <t>CONSUMO DE ENERGIA ELECTRICA EN PLANTAS DE TRATAMIENTO</t>
  </si>
  <si>
    <t>DATOS COMERCIALES</t>
  </si>
  <si>
    <t>LOCALIDADES RURALES INTEGRADAS AL SISTEMA</t>
  </si>
  <si>
    <t>TOMAS DOMESTICAS EN LOCALIDADES RURALES INTEGRADAS AL SISTEMA</t>
  </si>
  <si>
    <t>TOMAS DOMESTICAS DE AGUA POTABLE</t>
  </si>
  <si>
    <t>TOMAS COMERCIALES DE AGUA POTABLE</t>
  </si>
  <si>
    <t>TOMAS INDUSTRIALES DE AGUA POTABLE</t>
  </si>
  <si>
    <t>TOMAS MIXTAS DE AGUA POTABLE</t>
  </si>
  <si>
    <t>TOMAS PUBLICAS DE AGUA POTABLE</t>
  </si>
  <si>
    <t>TOMAS CON MICROMEDIDOR</t>
  </si>
  <si>
    <t>TOMAS CON MICROMEDIDOR FUNCIONANDO</t>
  </si>
  <si>
    <t>TOMAS DOMESTICAS CON MICROMEDIDOR FUNCIONANDO</t>
  </si>
  <si>
    <t>TOMAS COMERCIALES CON MICROMEDIDOR FUNCIONANDO</t>
  </si>
  <si>
    <t>TOMAS INDUSTRIALES CON MICROMEDIDOR FUNCIONANDO</t>
  </si>
  <si>
    <t>TOMAS MIXTAS CON MICROMEDIDOR FUNCIONADO</t>
  </si>
  <si>
    <t>TOMAS PUBLICAS CON MICROMEDIDOR FUNCIONENDO</t>
  </si>
  <si>
    <t>DESCARGAS DOMESTICAS AL SISTEMA DE DRENAJE SANITARIO</t>
  </si>
  <si>
    <t>DESCARGAS COMERCIALES AL SISTEMA DE DRENAJE SANITARIO</t>
  </si>
  <si>
    <t>DESCARGAS INDUSTRIALES AL SISTEMA DE DRENAJE SANITARIO</t>
  </si>
  <si>
    <t>DESCARGAS DE LAS TOMAS MIXTAS AL SISTEMA DE DRENAJE SANITARIO</t>
  </si>
  <si>
    <t>DESCARGAS DE LAS TOMAS PUBLICAS AL SISTEMA DE DRENAJE SANITARIO</t>
  </si>
  <si>
    <t>MONTO FACTURADO POR EL SERVICIO DE AGUA DE LAS TOMAS DOMESTICAS</t>
  </si>
  <si>
    <t>MONTO FACTURADO POR EL SERVICIO DE DRENAJE DE LAS DESCARGAS DOMESTICAS</t>
  </si>
  <si>
    <t>MONTO FACTURADO POR EL SERVICIO DE TRATAMIENTO DE LAS DESCARGAS DOMESTICAS</t>
  </si>
  <si>
    <t>MONTO FACTURADO POR EL SERVICIO DE AGUA DE LAS TOMAS COMERCIALES</t>
  </si>
  <si>
    <t>MONTO FACTURADO POR EL SERVICIO DE DRENAJE DE LAS DESCARGAS COMERCIALES</t>
  </si>
  <si>
    <t>MONTO FACTURADO POR EL SERVICIO DE TRATAMIENTO DE LAS DESCARGAS COMERCIALES</t>
  </si>
  <si>
    <t>MONTO FACTURADO POR EL SERVICIO DE LAS AGUAS INDUSTRIALES</t>
  </si>
  <si>
    <t>MONTO FACTURADO POR EL SEVICIO DE DRENAJE DE LAS DESCARGAS INDUSTRIALES</t>
  </si>
  <si>
    <t>MONTO FACTURADO POR EL SERVICIO DE TRATAMIENTO DE LAS DESCARGAS INDUSTRIALES</t>
  </si>
  <si>
    <t>MONTO FACTURADO POR EL SERVICIO  DE AGUAS DE LAS TOMAS MIXTAS</t>
  </si>
  <si>
    <t>MONTO FACTURADO POR  EL SERVICIO DE DRENAJE DE LAS TOMAS MIXTAS</t>
  </si>
  <si>
    <t>MONTO FACTURADO POR EL SERVICIO DE TRATAMIENTO DE LAS DESCARGAS MIXTAS</t>
  </si>
  <si>
    <t>MONTO FACTURADO POR EL SERVICIO  DE AGUA DE LAS TOMAS PUBLICAS</t>
  </si>
  <si>
    <t>MONTO FACTURADO POR EL SERVICIO DE DRENAJES DE LAS TOMAS PUBLICAS</t>
  </si>
  <si>
    <t>MONTO FACTURADO POR EL SERVICIO DE TRATAMIENTO DE LAS DESCARGAS PUBLICAS</t>
  </si>
  <si>
    <t>REPORTES RECIBIDOS</t>
  </si>
  <si>
    <t>REPORTES ATENDIDOS</t>
  </si>
  <si>
    <t>VOLUMEN FACTURADO MEDIDO DOMESTICO</t>
  </si>
  <si>
    <t>VOLUMEN FACTURADO MEDIDO COMERCIAL</t>
  </si>
  <si>
    <t>VOLUMEN FACTURADO MEDIDOR INDUSTRIAL</t>
  </si>
  <si>
    <t>VOLUMEN FACTURADO MEDIDO MIXTO</t>
  </si>
  <si>
    <t>VOLUMEN FACTURADO MEDIDO PUBLICO</t>
  </si>
  <si>
    <t>VOLUMEN CONSUMIDO ESTIMADO DOMESTICO</t>
  </si>
  <si>
    <t>VOLUMEN CONSUMIDO ESTIMADO COMERCIAL</t>
  </si>
  <si>
    <t>VOLUMEN CONSUMIDO ESTIMADO INDUSTRIAL</t>
  </si>
  <si>
    <t>VOLUMEN CONSUMIDO ESTIMADO MIXTO</t>
  </si>
  <si>
    <t>VOLUMEN CONSUMIDO ESTIMADO DE TOMAS PUBLICAS</t>
  </si>
  <si>
    <t>VOLUMEN DE AGUA DISTRIBUIDO EN PIPAS</t>
  </si>
  <si>
    <t>8400 m3</t>
  </si>
  <si>
    <t>DEUDORES QUE FORMAN LA CARTERA VENCIDA</t>
  </si>
  <si>
    <t>CARTERA VENCIDA TOMAS DOMESTICAS</t>
  </si>
  <si>
    <t>CARTERA VENCIDA TOMAS COMERCIALES</t>
  </si>
  <si>
    <t>CARTERA VENCIDA TOMAS INDUSTRIALES</t>
  </si>
  <si>
    <t>CARTERA VENCIDA TOMA MIXTAS</t>
  </si>
  <si>
    <t>CARTERA VENCIDA TOMAS PUBLICAS</t>
  </si>
  <si>
    <t>DATOS ADMINISTRATIVOS</t>
  </si>
  <si>
    <t>EMPLEADOS EN EL AREA ADMINISTRATIVA</t>
  </si>
  <si>
    <t>EMPLEADOS EN EL AREA DE AGUA POTABLE</t>
  </si>
  <si>
    <t>EMPLEADOS EN EL AREA DE DRENAJE SANITARIO</t>
  </si>
  <si>
    <t>EMPLEADOS EN EL AREA DE TRATAMIENTO</t>
  </si>
  <si>
    <t>EMPLEADOS EN EL AREA DE PLANEACION</t>
  </si>
  <si>
    <t>EMPLEADOS CERTIFICADOS</t>
  </si>
  <si>
    <t>TOTAL DE EMPLEADOS</t>
  </si>
  <si>
    <t>DATOS FINANCIEROS</t>
  </si>
  <si>
    <t>INGRESOS TOTALES</t>
  </si>
  <si>
    <t>INGRESOS POR EL SERVICO DE AGUA POTABLE</t>
  </si>
  <si>
    <t>INGRESOS POR EL SERVIO DE DRENAJE SANITARIO</t>
  </si>
  <si>
    <t>INGRESOS POR EL SERVICO DE TRATAMIENTO</t>
  </si>
  <si>
    <t>INGRESOS POR LA VENTA DE AGUA TRATADA</t>
  </si>
  <si>
    <t>INGRESOS POR DERECHO DE INCORPORACION</t>
  </si>
  <si>
    <t>INGRESOS POR SERVICIOS OPERATIVOS</t>
  </si>
  <si>
    <t>INGRESOS POR SERVICIOS ADMINISTRATIVOS</t>
  </si>
  <si>
    <t>INGRESOS POR REZAGOS</t>
  </si>
  <si>
    <t>INGRESOS POR NUEVAS CONEXIONES DE AGUA POTABLE Y DESCARGAS SANITARIAS</t>
  </si>
  <si>
    <t>OTROS INGRESOS</t>
  </si>
  <si>
    <t>INGRESO POR LA VENTA DE AGUA EN PIPAS</t>
  </si>
  <si>
    <t>DEVOLUCION DE IVA</t>
  </si>
  <si>
    <t>DEVOLUCION DE DERECHOS DE EXTRACCION</t>
  </si>
  <si>
    <t>DEVOLUCION DE DERECHOS DE DESCARGA</t>
  </si>
  <si>
    <t>GASTOS TOTALES DE OPERACIÓN</t>
  </si>
  <si>
    <t>GASTOS DE OPERACIÓN DEL SISTEMA DE AGUA POTABLE</t>
  </si>
  <si>
    <t>GASTOS DE OPERACIÓN DEL SISTEMA DE DRENAJE SANITARIO</t>
  </si>
  <si>
    <t>GASTOS DE OPERACIÓN DE LA PLANTA DE TRATAMIENTO DE AGUAS RESIDUALES</t>
  </si>
  <si>
    <t>GASTOS DE ADMINISTRACION</t>
  </si>
  <si>
    <t>OTROS GASTOS</t>
  </si>
  <si>
    <t>GASTO POR ENERGIA ELECTRICA PARA LA OPERACIÓN DE LOS POZOS</t>
  </si>
  <si>
    <t>GASTOS DE ENERGIA ELECTRICA PARA LA OPERACIÓN DE PLANTA DE TRATAMIENTO</t>
  </si>
  <si>
    <t>GASTOS POR ENERGIA ELECTRICA PARA BOMBEO DE AGUAS RESIDUALES</t>
  </si>
  <si>
    <t>GASTOS POR SUELDOS</t>
  </si>
  <si>
    <t>GASTOS POR PREVICION SOCIAL</t>
  </si>
  <si>
    <t>GASTOS EN DERECHO DE EXTRACCION</t>
  </si>
  <si>
    <t>GASTOS EN DERECHO DE DESCARGA</t>
  </si>
  <si>
    <t>APORTACIONES FEDERALES</t>
  </si>
  <si>
    <t>APORTACIONES ESTATALES</t>
  </si>
  <si>
    <t>APORTACIONES MUNICIPALES</t>
  </si>
  <si>
    <t>RELACION DE TRABAJO</t>
  </si>
  <si>
    <t>COSTO DEL PERSONAL</t>
  </si>
  <si>
    <t>COSTO UNITARIO DE PRODUCCION</t>
  </si>
  <si>
    <t>% GASTO DE ENERGIA ELECTRICA PARA BOMBEO</t>
  </si>
  <si>
    <t>COSTO RELATIVO DE ENERGIA ELECTRICA</t>
  </si>
  <si>
    <t>( VOL. FACTURADO /VOL TOTAL EXTRAIDO )</t>
  </si>
  <si>
    <t>( INGRESOS POR SERVICIO DE AGUA / MONTO FACTURADO POR EL SERVICIO DE AGUA</t>
  </si>
  <si>
    <t>( EFICIENCIA FISICA* EFICIENCIA COMERCIAL )</t>
  </si>
  <si>
    <t>( VIVIENDAS HABITADAS CON DRENAJE/ VIVIENDAS HABITADAS )</t>
  </si>
  <si>
    <t>( VOL. TOTAL EXTRAIDO/POBLACION SERVIDA )</t>
  </si>
  <si>
    <t>( VOL. NO FACTURADO/ VOL. TOTAL EXTRAIDO</t>
  </si>
  <si>
    <t>( NUMERO DE FUENTES CON MEDIDOR FUCNIONANDO/ NUMERO DE FUENTES )</t>
  </si>
  <si>
    <t>( TOMAS CON MICROMEDIDOR FUNCIONANDO/ TOMAS TOTALES )</t>
  </si>
  <si>
    <t>( INGRESOS POR SERVICIO DE AGUA / VOLUMEN  FACTURADO TOTAL )</t>
  </si>
  <si>
    <t>( VOL FACTURADO POR USO/ VOL. TOTAL FACTURADO )</t>
  </si>
  <si>
    <t>( INGRESO TOTAL/VOLUMEN TOTAL EXTRAIDO)</t>
  </si>
  <si>
    <t>( USUARIOS QUE PAGARON ANUAL/ TOMAS TOTALES )</t>
  </si>
  <si>
    <t>( EMPLEADOS ADMINSITRATIVOS/TOTAL DE EMPLEADOS)</t>
  </si>
  <si>
    <t>( EMPLEADOS DE DRENAJE/TOTAL DE EMPLEADOS)</t>
  </si>
  <si>
    <t>( EMPLEADOS DE TRATAMIENTO/TOTAL DE EMPLEADOS)</t>
  </si>
  <si>
    <t>( EMPLEADOS DE AGUA POTABLE/TOTAL DE EMPLEADOS)</t>
  </si>
  <si>
    <t>( GASTO TOTAL/INGRESO TOTAL)</t>
  </si>
  <si>
    <t>(GASTOS POR SUELDOS/ GASTOS TOTALES )</t>
  </si>
  <si>
    <t>( GSTOS EN ENERGIA ELECTRICA EN BOMBEO DE POZOS/GASTOS TOTALES )</t>
  </si>
  <si>
    <t>( GSTOS EN ENERGIA ELECTRICA EN BOMBEO DE POZOS/VOLUMEN TOTAL EXTRAIDO  )</t>
  </si>
  <si>
    <t>DOTACIÓN ( lts/hab/dia )</t>
  </si>
  <si>
    <t>( TOTAL DE EMPLEADOS / ( TOMAS DE AGUA/1000)</t>
  </si>
  <si>
    <t>ALCANTARILLADO</t>
  </si>
  <si>
    <t>( GASTO TOTAL/VOLUMEN EXTRAIDO)</t>
  </si>
  <si>
    <t xml:space="preserve">OCTUBRE </t>
  </si>
  <si>
    <t>157,446,73</t>
  </si>
  <si>
    <t>75 l.p.s</t>
  </si>
  <si>
    <t>74,186,36</t>
  </si>
  <si>
    <t>49,454.33</t>
  </si>
  <si>
    <t>893,8 m3</t>
  </si>
  <si>
    <t>939.5m3</t>
  </si>
  <si>
    <t>955 m3</t>
  </si>
  <si>
    <t>POZOS MES DE JUNIO</t>
  </si>
  <si>
    <t>VOLUMEN EXTRAIDO m3</t>
  </si>
  <si>
    <t>CONSUMO Kwh X MES</t>
  </si>
  <si>
    <t>ROSA DE CASTILLA Nº 1</t>
  </si>
  <si>
    <t>TANQUE NUEVO Nº 2</t>
  </si>
  <si>
    <t>PRESITA Nº 3</t>
  </si>
  <si>
    <t>FUERA DE SERV.</t>
  </si>
  <si>
    <t>TEMAZCALILLO Nº 4</t>
  </si>
  <si>
    <t>SALITRE Nº 5</t>
  </si>
  <si>
    <t>SAN ANTONIO Nº 6</t>
  </si>
  <si>
    <t>PARRITAS Nº 7</t>
  </si>
  <si>
    <t xml:space="preserve">TOTAL </t>
  </si>
  <si>
    <t>VOLUMEN NO FACTURADO</t>
  </si>
  <si>
    <t>PERDIDA</t>
  </si>
  <si>
    <t>AGOS</t>
  </si>
  <si>
    <t>SEPT</t>
  </si>
  <si>
    <t>OCTU</t>
  </si>
  <si>
    <t xml:space="preserve">NOV </t>
  </si>
  <si>
    <t>DIC</t>
  </si>
  <si>
    <t>1,889.361</t>
  </si>
  <si>
    <t>616.8</t>
  </si>
  <si>
    <t>832.1</t>
  </si>
  <si>
    <t>74,186.36</t>
  </si>
  <si>
    <t>SEPTIMEBRE</t>
  </si>
  <si>
    <t>834.1</t>
  </si>
  <si>
    <t>965 m3</t>
  </si>
  <si>
    <t>36,758.75</t>
  </si>
  <si>
    <t>18,500.9</t>
  </si>
  <si>
    <t>SEPTIMBRE</t>
  </si>
  <si>
    <t>34,989.5</t>
  </si>
  <si>
    <t>INDICADORES COMERCIAL-FACTURACIÓN 2017</t>
  </si>
  <si>
    <t>EXTRACCION - FACTURACION 2018</t>
  </si>
  <si>
    <t>EXTRACCION - FACTURACION 2017</t>
  </si>
  <si>
    <t>75 l.ps</t>
  </si>
  <si>
    <t>AGUA FACTURADA</t>
  </si>
  <si>
    <t>AGUA NO FACTURADA</t>
  </si>
  <si>
    <t xml:space="preserve">ROSA DE CASTILLA </t>
  </si>
  <si>
    <t xml:space="preserve">TANQUE NUEVO </t>
  </si>
  <si>
    <t xml:space="preserve">EL SALITRE </t>
  </si>
  <si>
    <t>PARRITAS</t>
  </si>
  <si>
    <t xml:space="preserve">SAN ANTONIO </t>
  </si>
  <si>
    <t xml:space="preserve">LA PRESITA </t>
  </si>
  <si>
    <t xml:space="preserve">TEMAZCALILLO </t>
  </si>
  <si>
    <t xml:space="preserve">PARRITAS </t>
  </si>
  <si>
    <t>AGUA TRATADA</t>
  </si>
  <si>
    <t>AGUA NO TRATADA</t>
  </si>
  <si>
    <t>Garrafaa de clor</t>
  </si>
  <si>
    <r>
      <t>893,8 m</t>
    </r>
    <r>
      <rPr>
        <vertAlign val="superscript"/>
        <sz val="8"/>
        <color theme="1"/>
        <rFont val="Calibri"/>
        <family val="2"/>
        <scheme val="minor"/>
      </rPr>
      <t>3</t>
    </r>
  </si>
  <si>
    <r>
      <t>939.5m</t>
    </r>
    <r>
      <rPr>
        <vertAlign val="superscript"/>
        <sz val="8"/>
        <color theme="1"/>
        <rFont val="Calibri"/>
        <family val="2"/>
        <scheme val="minor"/>
      </rPr>
      <t>3</t>
    </r>
  </si>
  <si>
    <r>
      <t>955 m</t>
    </r>
    <r>
      <rPr>
        <vertAlign val="superscript"/>
        <sz val="8"/>
        <color theme="1"/>
        <rFont val="Calibri"/>
        <family val="2"/>
        <scheme val="minor"/>
      </rPr>
      <t>3</t>
    </r>
  </si>
  <si>
    <r>
      <t>965 m</t>
    </r>
    <r>
      <rPr>
        <vertAlign val="superscript"/>
        <sz val="8"/>
        <color theme="1"/>
        <rFont val="Calibri"/>
        <family val="2"/>
        <scheme val="minor"/>
      </rPr>
      <t>3</t>
    </r>
  </si>
  <si>
    <r>
      <t>965m</t>
    </r>
    <r>
      <rPr>
        <vertAlign val="superscript"/>
        <sz val="8"/>
        <rFont val="Calibri"/>
        <family val="2"/>
        <scheme val="minor"/>
      </rPr>
      <t>3</t>
    </r>
  </si>
  <si>
    <t>LIC. MARIA CRISTINA GUERRERO MANZANO</t>
  </si>
  <si>
    <t>74,512.36</t>
  </si>
  <si>
    <t>0-15</t>
  </si>
  <si>
    <t>16-20</t>
  </si>
  <si>
    <t>21-25</t>
  </si>
  <si>
    <t>26-40</t>
  </si>
  <si>
    <t>41-50</t>
  </si>
  <si>
    <t>51-60</t>
  </si>
  <si>
    <t>61-99999</t>
  </si>
  <si>
    <t>AGUA</t>
  </si>
  <si>
    <t xml:space="preserve">SANEAMIENTO </t>
  </si>
  <si>
    <t>IVA</t>
  </si>
  <si>
    <t>USUARIOS</t>
  </si>
  <si>
    <t>M3</t>
  </si>
  <si>
    <t>INSEN, PEN, JUB</t>
  </si>
  <si>
    <t>EDIFICIO PUBLICO</t>
  </si>
  <si>
    <t xml:space="preserve">INGRESOS POR RANGOS EN M3, SEGÚN LA LEY DE INGRESOS </t>
  </si>
  <si>
    <t>INSEN, PEN Y JUB</t>
  </si>
  <si>
    <t>GRAFICOS DE CONSUMOS COBRADOS</t>
  </si>
  <si>
    <t xml:space="preserve"> $                       -  </t>
  </si>
  <si>
    <t xml:space="preserve"> $                           -  </t>
  </si>
  <si>
    <t xml:space="preserve"> $                         -  </t>
  </si>
  <si>
    <t>14860.1</t>
  </si>
  <si>
    <t>sioo 2018</t>
  </si>
  <si>
    <t xml:space="preserve">PROMEDIO </t>
  </si>
  <si>
    <t>SUBTOTAL</t>
  </si>
  <si>
    <t>PROMEDIO</t>
  </si>
  <si>
    <t>EXTRACCION - FACTURACION 2019</t>
  </si>
  <si>
    <t>965 M3</t>
  </si>
  <si>
    <t>GRAFICOS DE CONSUMOS FACTURADOS</t>
  </si>
  <si>
    <t>PRECIO POR M3 INGRESADO</t>
  </si>
  <si>
    <t>COSTO  POR M3 FACTURADO</t>
  </si>
  <si>
    <t>ALCANTARILLADO Y SANEAMIENTO</t>
  </si>
  <si>
    <t>MANTENIMIENTO</t>
  </si>
  <si>
    <t>AGUA POTABLE</t>
  </si>
  <si>
    <t>COMUNICACIÓN SOCIAL</t>
  </si>
  <si>
    <t>ATENCION AL USUARIO</t>
  </si>
  <si>
    <t>ORDENES 2018</t>
  </si>
  <si>
    <t>ORDENES 2019</t>
  </si>
  <si>
    <t>ORDENES 2017</t>
  </si>
  <si>
    <t>74,512.37</t>
  </si>
  <si>
    <t>TRATAMIENTO DE AGUA</t>
  </si>
  <si>
    <t>QUEJAS</t>
  </si>
  <si>
    <t>QUEJAS DE USURIOS</t>
  </si>
  <si>
    <t>GRAFICOS DE IMPORTES COBRADOS FACTURADOS</t>
  </si>
  <si>
    <t>GRAFICOS DE IMPORTES COBRADOS COBRADOS</t>
  </si>
  <si>
    <t>TRAMITES Y USUARIOS ATENDIDOS</t>
  </si>
  <si>
    <t>TRAMITES REALIZADOS</t>
  </si>
  <si>
    <t>0'</t>
  </si>
  <si>
    <t>m3 que no llegan a su destino</t>
  </si>
  <si>
    <t>m3 PERDIDOS POR DIA</t>
  </si>
  <si>
    <t>m3 ENTREGADOS POR DIA</t>
  </si>
  <si>
    <t>INDICADORES 2019</t>
  </si>
  <si>
    <t>ENERGIA ELEC</t>
  </si>
  <si>
    <t>SUELDOS</t>
  </si>
  <si>
    <t>COSTO DE M.O P/1M3</t>
  </si>
  <si>
    <t>COSTO ENERGIA P/ 1M3</t>
  </si>
  <si>
    <t>COSTO DE M3 INGRESADO</t>
  </si>
  <si>
    <t>C</t>
  </si>
  <si>
    <t>PRODUCCION</t>
  </si>
  <si>
    <t>104819  Kwh</t>
  </si>
  <si>
    <t xml:space="preserve">  Kwh 95329</t>
  </si>
  <si>
    <t>SECTORES FACTURADOS</t>
  </si>
  <si>
    <t>SECTOR</t>
  </si>
  <si>
    <t>RUTA</t>
  </si>
  <si>
    <t>COMUNIDAD</t>
  </si>
  <si>
    <t>Cabecera</t>
  </si>
  <si>
    <t>Zacatequillas</t>
  </si>
  <si>
    <t>La biznaga</t>
  </si>
  <si>
    <t>Nainare</t>
  </si>
  <si>
    <t>Tanque nuevo</t>
  </si>
  <si>
    <t>Palo Verde</t>
  </si>
  <si>
    <t>Santa anita</t>
  </si>
  <si>
    <t>Ejido desmonte y desmonte</t>
  </si>
  <si>
    <t>Ejido Barreno</t>
  </si>
  <si>
    <t>Las Jarillas</t>
  </si>
  <si>
    <t>Puerta de cadenas</t>
  </si>
  <si>
    <t>La presita</t>
  </si>
  <si>
    <t>El carrizal</t>
  </si>
  <si>
    <t>Cantarranas</t>
  </si>
  <si>
    <t>Tepozan y salitrillo</t>
  </si>
  <si>
    <t>Cerrito y suspiro</t>
  </si>
  <si>
    <t>Rosa de castilla</t>
  </si>
  <si>
    <t>Providencia</t>
  </si>
  <si>
    <t>San Juan</t>
  </si>
  <si>
    <t>El salitre</t>
  </si>
  <si>
    <t>San Franco</t>
  </si>
  <si>
    <t>Presidencia</t>
  </si>
  <si>
    <t>Ejido Ojuelos</t>
  </si>
  <si>
    <t>San antonio</t>
  </si>
  <si>
    <t>Ejido Santa Anita</t>
  </si>
  <si>
    <t>Parritas</t>
  </si>
  <si>
    <t>CUENTAS</t>
  </si>
  <si>
    <t xml:space="preserve"> </t>
  </si>
  <si>
    <t>INDICADORES DE GESTION DEL AREA OPERATIVA</t>
  </si>
  <si>
    <t>INDICADOR</t>
  </si>
  <si>
    <t xml:space="preserve">ENERO </t>
  </si>
  <si>
    <t>REDES E INSTALACIONES</t>
  </si>
  <si>
    <t>REHABILITACION DE TUBERIA</t>
  </si>
  <si>
    <t>REHABILITACION DE TOMA DOMICILIARIA</t>
  </si>
  <si>
    <t>MACROMEDICION</t>
  </si>
  <si>
    <t>MICROMEDICION</t>
  </si>
  <si>
    <t>VOLUMEN TRATADO</t>
  </si>
  <si>
    <t>DOTACION ( L/H/D )</t>
  </si>
  <si>
    <t>CONSUMO ( L/H/D )</t>
  </si>
  <si>
    <t>HORAS DE TANDEO DE SERVICIO DE AGUA</t>
  </si>
  <si>
    <t>PADRON DE USUARIOS</t>
  </si>
  <si>
    <t>USUARIOS QUE PAGAN A TIEMPO</t>
  </si>
  <si>
    <t>USUARIOS ABASTECIDOS EN PIPA</t>
  </si>
  <si>
    <t>RECLAMACIONES POR CADA MIL TOMAS</t>
  </si>
  <si>
    <t>EMPLEADOS POR CADA MIL TOMAS</t>
  </si>
  <si>
    <t>EMPLEADOS PARA LA REPARACION DE FUGAS</t>
  </si>
  <si>
    <t>COBERTURA DE AGUA POTABLE</t>
  </si>
  <si>
    <t>PERDIDAS POR LONGITUD DE RED</t>
  </si>
  <si>
    <t>PERDIDAS POR TOMA</t>
  </si>
  <si>
    <t>EFICIENCIA FISICA 1</t>
  </si>
  <si>
    <t>EFICIENCIA FISICA 2</t>
  </si>
  <si>
    <t>EFICIENCIA DEL COBRO</t>
  </si>
  <si>
    <t>CONUCCION</t>
  </si>
  <si>
    <t>DISTRIBUCION</t>
  </si>
  <si>
    <t>col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</si>
</sst>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EECF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</cellStyleXfs>
  <cellXfs count="487">
    <xf numFmtId="0" fontId="0" fillId="0" borderId="0" xfId="0"/>
    <xf numFmtId="0" fontId="3" fillId="0" borderId="0" xfId="0" applyFont="1"/>
    <xf numFmtId="0" fontId="3" fillId="0" borderId="2" xfId="0" applyFont="1" applyBorder="1"/>
    <xf numFmtId="0" fontId="2" fillId="4" borderId="2" xfId="0" applyFont="1" applyFill="1" applyBorder="1" applyAlignment="1">
      <alignment horizontal="left" vertical="center" wrapText="1"/>
    </xf>
    <xf numFmtId="9" fontId="3" fillId="10" borderId="2" xfId="2" applyFont="1" applyFill="1" applyBorder="1"/>
    <xf numFmtId="9" fontId="2" fillId="10" borderId="2" xfId="2" applyFont="1" applyFill="1" applyBorder="1" applyAlignment="1"/>
    <xf numFmtId="9" fontId="2" fillId="10" borderId="2" xfId="2" applyFont="1" applyFill="1" applyBorder="1" applyAlignment="1">
      <alignment horizontal="right"/>
    </xf>
    <xf numFmtId="9" fontId="2" fillId="10" borderId="2" xfId="2" applyFont="1" applyFill="1" applyBorder="1" applyAlignment="1">
      <alignment vertical="center" wrapText="1"/>
    </xf>
    <xf numFmtId="44" fontId="3" fillId="0" borderId="0" xfId="0" applyNumberFormat="1" applyFont="1"/>
    <xf numFmtId="44" fontId="3" fillId="0" borderId="0" xfId="1" applyFont="1"/>
    <xf numFmtId="0" fontId="3" fillId="0" borderId="0" xfId="0" applyFont="1" applyFill="1" applyBorder="1"/>
    <xf numFmtId="9" fontId="2" fillId="10" borderId="6" xfId="0" applyNumberFormat="1" applyFont="1" applyFill="1" applyBorder="1" applyAlignment="1">
      <alignment horizontal="center" vertical="center"/>
    </xf>
    <xf numFmtId="9" fontId="2" fillId="28" borderId="2" xfId="2" applyFont="1" applyFill="1" applyBorder="1" applyAlignment="1">
      <alignment horizontal="center" vertical="center"/>
    </xf>
    <xf numFmtId="9" fontId="2" fillId="28" borderId="2" xfId="2" applyFont="1" applyFill="1" applyBorder="1" applyAlignment="1">
      <alignment vertical="center" wrapText="1"/>
    </xf>
    <xf numFmtId="9" fontId="2" fillId="28" borderId="2" xfId="0" applyNumberFormat="1" applyFont="1" applyFill="1" applyBorder="1" applyAlignment="1">
      <alignment vertical="center" wrapText="1"/>
    </xf>
    <xf numFmtId="9" fontId="2" fillId="28" borderId="2" xfId="2" applyFont="1" applyFill="1" applyBorder="1" applyAlignment="1">
      <alignment horizontal="center" vertical="center" wrapText="1"/>
    </xf>
    <xf numFmtId="9" fontId="3" fillId="28" borderId="2" xfId="2" applyFont="1" applyFill="1" applyBorder="1"/>
    <xf numFmtId="9" fontId="3" fillId="0" borderId="0" xfId="0" applyNumberFormat="1" applyFont="1"/>
    <xf numFmtId="9" fontId="3" fillId="0" borderId="0" xfId="2" applyFont="1"/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/>
    <xf numFmtId="44" fontId="3" fillId="6" borderId="0" xfId="1" applyFont="1" applyFill="1" applyBorder="1"/>
    <xf numFmtId="0" fontId="3" fillId="6" borderId="0" xfId="0" applyFont="1" applyFill="1" applyBorder="1" applyAlignment="1">
      <alignment vertical="top"/>
    </xf>
    <xf numFmtId="0" fontId="3" fillId="6" borderId="0" xfId="0" applyNumberFormat="1" applyFont="1" applyFill="1" applyBorder="1" applyAlignment="1">
      <alignment vertical="top"/>
    </xf>
    <xf numFmtId="0" fontId="3" fillId="0" borderId="2" xfId="0" applyNumberFormat="1" applyFont="1" applyBorder="1"/>
    <xf numFmtId="0" fontId="3" fillId="0" borderId="2" xfId="1" applyNumberFormat="1" applyFont="1" applyBorder="1"/>
    <xf numFmtId="44" fontId="3" fillId="0" borderId="2" xfId="1" applyFont="1" applyFill="1" applyBorder="1"/>
    <xf numFmtId="0" fontId="3" fillId="0" borderId="2" xfId="0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13" xfId="0" applyFont="1" applyBorder="1"/>
    <xf numFmtId="0" fontId="3" fillId="19" borderId="2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2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3" borderId="6" xfId="0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/>
    </xf>
    <xf numFmtId="0" fontId="3" fillId="9" borderId="6" xfId="0" applyFont="1" applyFill="1" applyBorder="1"/>
    <xf numFmtId="0" fontId="3" fillId="25" borderId="6" xfId="0" applyFont="1" applyFill="1" applyBorder="1"/>
    <xf numFmtId="0" fontId="3" fillId="19" borderId="2" xfId="0" applyFont="1" applyFill="1" applyBorder="1" applyAlignment="1"/>
    <xf numFmtId="0" fontId="3" fillId="20" borderId="2" xfId="0" applyFont="1" applyFill="1" applyBorder="1"/>
    <xf numFmtId="0" fontId="3" fillId="5" borderId="2" xfId="0" applyFont="1" applyFill="1" applyBorder="1"/>
    <xf numFmtId="0" fontId="3" fillId="22" borderId="2" xfId="0" applyFont="1" applyFill="1" applyBorder="1"/>
    <xf numFmtId="0" fontId="3" fillId="7" borderId="2" xfId="0" applyFont="1" applyFill="1" applyBorder="1"/>
    <xf numFmtId="0" fontId="3" fillId="3" borderId="6" xfId="0" applyFont="1" applyFill="1" applyBorder="1"/>
    <xf numFmtId="0" fontId="3" fillId="23" borderId="6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19" borderId="2" xfId="0" applyNumberFormat="1" applyFont="1" applyFill="1" applyBorder="1"/>
    <xf numFmtId="3" fontId="3" fillId="9" borderId="6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3" xfId="0" applyFont="1" applyFill="1" applyBorder="1"/>
    <xf numFmtId="8" fontId="3" fillId="0" borderId="0" xfId="0" applyNumberFormat="1" applyFo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1" fillId="6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11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0" fillId="8" borderId="12" xfId="0" applyFont="1" applyFill="1" applyBorder="1" applyAlignment="1">
      <alignment horizontal="left" vertical="top"/>
    </xf>
    <xf numFmtId="0" fontId="5" fillId="8" borderId="11" xfId="0" applyFont="1" applyFill="1" applyBorder="1" applyAlignment="1">
      <alignment horizontal="left" vertical="top"/>
    </xf>
    <xf numFmtId="0" fontId="11" fillId="8" borderId="11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5" fillId="12" borderId="6" xfId="0" applyFont="1" applyFill="1" applyBorder="1" applyAlignment="1">
      <alignment horizontal="center" vertical="top"/>
    </xf>
    <xf numFmtId="0" fontId="3" fillId="22" borderId="6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5" fillId="8" borderId="6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2" fontId="3" fillId="12" borderId="2" xfId="0" applyNumberFormat="1" applyFont="1" applyFill="1" applyBorder="1" applyAlignment="1">
      <alignment horizontal="center" vertical="top"/>
    </xf>
    <xf numFmtId="0" fontId="3" fillId="12" borderId="2" xfId="0" applyFont="1" applyFill="1" applyBorder="1" applyAlignment="1">
      <alignment vertical="top"/>
    </xf>
    <xf numFmtId="44" fontId="3" fillId="4" borderId="2" xfId="1" applyFont="1" applyFill="1" applyBorder="1" applyAlignment="1">
      <alignment horizontal="center" vertical="top"/>
    </xf>
    <xf numFmtId="44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12" borderId="2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/>
    </xf>
    <xf numFmtId="0" fontId="5" fillId="8" borderId="7" xfId="0" applyFont="1" applyFill="1" applyBorder="1" applyAlignment="1">
      <alignment vertical="top"/>
    </xf>
    <xf numFmtId="44" fontId="3" fillId="12" borderId="2" xfId="1" applyFont="1" applyFill="1" applyBorder="1" applyAlignment="1">
      <alignment horizontal="center" vertical="center"/>
    </xf>
    <xf numFmtId="44" fontId="3" fillId="12" borderId="2" xfId="1" applyFont="1" applyFill="1" applyBorder="1" applyAlignment="1">
      <alignment horizontal="center" vertical="top"/>
    </xf>
    <xf numFmtId="44" fontId="3" fillId="13" borderId="6" xfId="1" applyFont="1" applyFill="1" applyBorder="1" applyAlignment="1">
      <alignment horizontal="center" vertical="top"/>
    </xf>
    <xf numFmtId="44" fontId="11" fillId="0" borderId="6" xfId="0" applyNumberFormat="1" applyFont="1" applyBorder="1" applyAlignment="1">
      <alignment horizontal="left" vertical="top"/>
    </xf>
    <xf numFmtId="0" fontId="11" fillId="5" borderId="6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center"/>
    </xf>
    <xf numFmtId="0" fontId="5" fillId="18" borderId="13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44" fontId="3" fillId="4" borderId="0" xfId="1" applyFont="1" applyFill="1" applyBorder="1" applyAlignment="1">
      <alignment horizontal="center" vertical="top"/>
    </xf>
    <xf numFmtId="44" fontId="3" fillId="12" borderId="0" xfId="1" applyFont="1" applyFill="1" applyBorder="1" applyAlignment="1">
      <alignment horizontal="center" vertical="top"/>
    </xf>
    <xf numFmtId="44" fontId="3" fillId="13" borderId="0" xfId="1" applyFont="1" applyFill="1" applyBorder="1" applyAlignment="1">
      <alignment horizontal="center" vertical="top"/>
    </xf>
    <xf numFmtId="44" fontId="3" fillId="8" borderId="0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top"/>
    </xf>
    <xf numFmtId="44" fontId="3" fillId="6" borderId="0" xfId="1" applyFont="1" applyFill="1" applyBorder="1" applyAlignment="1">
      <alignment horizontal="center" vertical="top"/>
    </xf>
    <xf numFmtId="44" fontId="3" fillId="6" borderId="0" xfId="0" applyNumberFormat="1" applyFont="1" applyFill="1" applyBorder="1" applyAlignment="1">
      <alignment horizontal="center" vertical="top"/>
    </xf>
    <xf numFmtId="0" fontId="3" fillId="12" borderId="0" xfId="0" applyFont="1" applyFill="1"/>
    <xf numFmtId="0" fontId="3" fillId="12" borderId="2" xfId="0" applyFont="1" applyFill="1" applyBorder="1"/>
    <xf numFmtId="0" fontId="3" fillId="12" borderId="6" xfId="0" applyFont="1" applyFill="1" applyBorder="1" applyAlignment="1">
      <alignment vertical="top"/>
    </xf>
    <xf numFmtId="3" fontId="3" fillId="12" borderId="2" xfId="0" applyNumberFormat="1" applyFont="1" applyFill="1" applyBorder="1" applyAlignment="1">
      <alignment horizontal="center" vertical="top"/>
    </xf>
    <xf numFmtId="0" fontId="3" fillId="12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 vertical="center"/>
    </xf>
    <xf numFmtId="0" fontId="3" fillId="12" borderId="2" xfId="0" quotePrefix="1" applyFont="1" applyFill="1" applyBorder="1" applyAlignment="1">
      <alignment horizontal="center" vertical="top"/>
    </xf>
    <xf numFmtId="0" fontId="3" fillId="12" borderId="3" xfId="0" applyFont="1" applyFill="1" applyBorder="1" applyAlignment="1">
      <alignment horizontal="center" vertical="top"/>
    </xf>
    <xf numFmtId="4" fontId="3" fillId="12" borderId="2" xfId="0" applyNumberFormat="1" applyFont="1" applyFill="1" applyBorder="1" applyAlignment="1">
      <alignment horizontal="center" vertical="top"/>
    </xf>
    <xf numFmtId="3" fontId="3" fillId="12" borderId="6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top"/>
    </xf>
    <xf numFmtId="0" fontId="3" fillId="12" borderId="0" xfId="0" applyFont="1" applyFill="1" applyAlignment="1">
      <alignment horizontal="center" vertical="top"/>
    </xf>
    <xf numFmtId="0" fontId="3" fillId="1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top"/>
    </xf>
    <xf numFmtId="0" fontId="3" fillId="12" borderId="0" xfId="0" applyFont="1" applyFill="1" applyAlignment="1">
      <alignment vertical="top"/>
    </xf>
    <xf numFmtId="0" fontId="3" fillId="12" borderId="2" xfId="1" applyNumberFormat="1" applyFont="1" applyFill="1" applyBorder="1" applyAlignment="1">
      <alignment horizontal="center" vertical="top"/>
    </xf>
    <xf numFmtId="0" fontId="5" fillId="12" borderId="7" xfId="0" applyFont="1" applyFill="1" applyBorder="1" applyAlignment="1">
      <alignment vertical="top"/>
    </xf>
    <xf numFmtId="44" fontId="3" fillId="12" borderId="2" xfId="1" applyFont="1" applyFill="1" applyBorder="1" applyAlignment="1">
      <alignment vertical="top"/>
    </xf>
    <xf numFmtId="44" fontId="3" fillId="12" borderId="6" xfId="1" applyFont="1" applyFill="1" applyBorder="1" applyAlignment="1">
      <alignment horizontal="center" vertical="top"/>
    </xf>
    <xf numFmtId="0" fontId="3" fillId="12" borderId="2" xfId="1" applyNumberFormat="1" applyFont="1" applyFill="1" applyBorder="1" applyAlignment="1">
      <alignment horizontal="center" vertical="center"/>
    </xf>
    <xf numFmtId="0" fontId="3" fillId="12" borderId="2" xfId="0" applyNumberFormat="1" applyFont="1" applyFill="1" applyBorder="1"/>
    <xf numFmtId="44" fontId="3" fillId="12" borderId="0" xfId="1" applyFont="1" applyFill="1" applyAlignment="1">
      <alignment vertical="top"/>
    </xf>
    <xf numFmtId="44" fontId="3" fillId="12" borderId="6" xfId="1" applyFont="1" applyFill="1" applyBorder="1" applyAlignment="1">
      <alignment vertical="top"/>
    </xf>
    <xf numFmtId="4" fontId="9" fillId="12" borderId="2" xfId="5" applyNumberFormat="1" applyFont="1" applyFill="1" applyBorder="1" applyProtection="1">
      <protection locked="0"/>
    </xf>
    <xf numFmtId="0" fontId="9" fillId="12" borderId="2" xfId="5" applyNumberFormat="1" applyFont="1" applyFill="1" applyBorder="1" applyProtection="1">
      <protection locked="0"/>
    </xf>
    <xf numFmtId="0" fontId="3" fillId="12" borderId="2" xfId="0" applyNumberFormat="1" applyFont="1" applyFill="1" applyBorder="1" applyAlignment="1">
      <alignment vertical="top"/>
    </xf>
    <xf numFmtId="44" fontId="3" fillId="12" borderId="2" xfId="1" applyFont="1" applyFill="1" applyBorder="1"/>
    <xf numFmtId="0" fontId="3" fillId="12" borderId="2" xfId="1" applyNumberFormat="1" applyFont="1" applyFill="1" applyBorder="1"/>
    <xf numFmtId="0" fontId="3" fillId="14" borderId="2" xfId="0" applyFont="1" applyFill="1" applyBorder="1" applyAlignment="1">
      <alignment vertical="top"/>
    </xf>
    <xf numFmtId="0" fontId="3" fillId="14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 vertical="top"/>
    </xf>
    <xf numFmtId="0" fontId="3" fillId="14" borderId="2" xfId="0" applyFont="1" applyFill="1" applyBorder="1" applyAlignment="1">
      <alignment horizontal="center" vertical="center"/>
    </xf>
    <xf numFmtId="0" fontId="3" fillId="14" borderId="2" xfId="0" quotePrefix="1" applyFont="1" applyFill="1" applyBorder="1" applyAlignment="1">
      <alignment horizontal="center" vertical="center"/>
    </xf>
    <xf numFmtId="3" fontId="3" fillId="14" borderId="2" xfId="0" applyNumberFormat="1" applyFont="1" applyFill="1" applyBorder="1" applyAlignment="1">
      <alignment horizontal="center" vertical="center"/>
    </xf>
    <xf numFmtId="4" fontId="3" fillId="14" borderId="2" xfId="0" applyNumberFormat="1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top"/>
    </xf>
    <xf numFmtId="0" fontId="18" fillId="14" borderId="2" xfId="0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top"/>
    </xf>
    <xf numFmtId="164" fontId="3" fillId="14" borderId="2" xfId="0" applyNumberFormat="1" applyFont="1" applyFill="1" applyBorder="1" applyAlignment="1">
      <alignment horizontal="center" vertical="top"/>
    </xf>
    <xf numFmtId="164" fontId="3" fillId="14" borderId="2" xfId="0" applyNumberFormat="1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/>
    <xf numFmtId="0" fontId="3" fillId="14" borderId="2" xfId="0" applyNumberFormat="1" applyFont="1" applyFill="1" applyBorder="1" applyAlignment="1">
      <alignment vertical="top"/>
    </xf>
    <xf numFmtId="0" fontId="3" fillId="13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6" borderId="2" xfId="0" applyFont="1" applyFill="1" applyBorder="1" applyAlignment="1"/>
    <xf numFmtId="0" fontId="3" fillId="6" borderId="2" xfId="0" applyFont="1" applyFill="1" applyBorder="1" applyAlignment="1">
      <alignment horizontal="center" vertical="center" wrapText="1"/>
    </xf>
    <xf numFmtId="44" fontId="3" fillId="6" borderId="2" xfId="1" applyFont="1" applyFill="1" applyBorder="1" applyAlignment="1"/>
    <xf numFmtId="44" fontId="3" fillId="6" borderId="2" xfId="0" applyNumberFormat="1" applyFont="1" applyFill="1" applyBorder="1" applyAlignment="1"/>
    <xf numFmtId="0" fontId="3" fillId="0" borderId="2" xfId="0" applyFont="1" applyFill="1" applyBorder="1"/>
    <xf numFmtId="0" fontId="3" fillId="0" borderId="2" xfId="0" applyFont="1" applyBorder="1"/>
    <xf numFmtId="9" fontId="3" fillId="0" borderId="0" xfId="2" applyFont="1" applyAlignment="1">
      <alignment vertical="top"/>
    </xf>
    <xf numFmtId="0" fontId="20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Border="1"/>
    <xf numFmtId="9" fontId="3" fillId="0" borderId="0" xfId="2" applyFont="1" applyBorder="1"/>
    <xf numFmtId="0" fontId="12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2" applyNumberFormat="1" applyFont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44" fontId="3" fillId="0" borderId="2" xfId="0" applyNumberFormat="1" applyFont="1" applyBorder="1"/>
    <xf numFmtId="44" fontId="3" fillId="0" borderId="2" xfId="0" applyNumberFormat="1" applyFont="1" applyBorder="1" applyAlignment="1"/>
    <xf numFmtId="44" fontId="3" fillId="0" borderId="2" xfId="1" applyFont="1" applyBorder="1"/>
    <xf numFmtId="0" fontId="2" fillId="4" borderId="5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3" fillId="22" borderId="0" xfId="0" applyFont="1" applyFill="1"/>
    <xf numFmtId="0" fontId="3" fillId="6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11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right" vertical="center"/>
    </xf>
    <xf numFmtId="0" fontId="3" fillId="0" borderId="0" xfId="2" applyNumberFormat="1" applyFont="1" applyAlignment="1">
      <alignment vertical="top"/>
    </xf>
    <xf numFmtId="4" fontId="3" fillId="14" borderId="2" xfId="0" applyNumberFormat="1" applyFont="1" applyFill="1" applyBorder="1" applyAlignment="1">
      <alignment vertical="top"/>
    </xf>
    <xf numFmtId="8" fontId="3" fillId="14" borderId="2" xfId="0" applyNumberFormat="1" applyFont="1" applyFill="1" applyBorder="1" applyAlignment="1">
      <alignment vertical="top"/>
    </xf>
    <xf numFmtId="0" fontId="3" fillId="6" borderId="0" xfId="0" applyFont="1" applyFill="1"/>
    <xf numFmtId="0" fontId="2" fillId="6" borderId="3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left" vertical="top" wrapText="1"/>
    </xf>
    <xf numFmtId="9" fontId="3" fillId="6" borderId="2" xfId="2" applyFont="1" applyFill="1" applyBorder="1"/>
    <xf numFmtId="0" fontId="3" fillId="6" borderId="6" xfId="0" applyFont="1" applyFill="1" applyBorder="1" applyAlignment="1">
      <alignment horizontal="left" vertical="top"/>
    </xf>
    <xf numFmtId="2" fontId="3" fillId="6" borderId="2" xfId="0" applyNumberFormat="1" applyFont="1" applyFill="1" applyBorder="1"/>
    <xf numFmtId="1" fontId="4" fillId="6" borderId="2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left" vertical="top" wrapText="1"/>
    </xf>
    <xf numFmtId="9" fontId="3" fillId="6" borderId="2" xfId="0" applyNumberFormat="1" applyFont="1" applyFill="1" applyBorder="1"/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left" vertical="top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3" fillId="0" borderId="2" xfId="0" applyFont="1" applyBorder="1"/>
    <xf numFmtId="0" fontId="12" fillId="6" borderId="2" xfId="0" applyFont="1" applyFill="1" applyBorder="1" applyAlignment="1">
      <alignment vertical="center"/>
    </xf>
    <xf numFmtId="0" fontId="3" fillId="0" borderId="2" xfId="0" applyFont="1" applyBorder="1"/>
    <xf numFmtId="9" fontId="3" fillId="0" borderId="2" xfId="2" applyFont="1" applyBorder="1"/>
    <xf numFmtId="2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/>
    <xf numFmtId="17" fontId="3" fillId="7" borderId="2" xfId="0" applyNumberFormat="1" applyFont="1" applyFill="1" applyBorder="1" applyAlignment="1"/>
    <xf numFmtId="0" fontId="3" fillId="5" borderId="2" xfId="0" applyFont="1" applyFill="1" applyBorder="1" applyAlignment="1"/>
    <xf numFmtId="0" fontId="3" fillId="21" borderId="2" xfId="0" applyFont="1" applyFill="1" applyBorder="1" applyAlignment="1"/>
    <xf numFmtId="0" fontId="3" fillId="23" borderId="2" xfId="0" applyFont="1" applyFill="1" applyBorder="1" applyAlignment="1"/>
    <xf numFmtId="0" fontId="3" fillId="21" borderId="2" xfId="0" applyFont="1" applyFill="1" applyBorder="1"/>
    <xf numFmtId="0" fontId="3" fillId="11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top"/>
    </xf>
    <xf numFmtId="2" fontId="3" fillId="11" borderId="2" xfId="0" applyNumberFormat="1" applyFont="1" applyFill="1" applyBorder="1" applyAlignment="1">
      <alignment horizontal="center" vertical="center"/>
    </xf>
    <xf numFmtId="2" fontId="3" fillId="12" borderId="2" xfId="0" applyNumberFormat="1" applyFont="1" applyFill="1" applyBorder="1" applyAlignment="1">
      <alignment horizontal="center" vertical="center"/>
    </xf>
    <xf numFmtId="0" fontId="15" fillId="26" borderId="2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top"/>
    </xf>
    <xf numFmtId="164" fontId="3" fillId="10" borderId="2" xfId="0" applyNumberFormat="1" applyFont="1" applyFill="1" applyBorder="1" applyAlignment="1">
      <alignment horizontal="center" vertical="center"/>
    </xf>
    <xf numFmtId="0" fontId="15" fillId="26" borderId="2" xfId="0" applyFont="1" applyFill="1" applyBorder="1" applyAlignment="1">
      <alignment horizontal="right" vertical="center"/>
    </xf>
    <xf numFmtId="3" fontId="3" fillId="0" borderId="0" xfId="0" applyNumberFormat="1" applyFont="1"/>
    <xf numFmtId="0" fontId="3" fillId="27" borderId="2" xfId="0" applyFont="1" applyFill="1" applyBorder="1" applyAlignment="1">
      <alignment horizontal="right" vertical="center"/>
    </xf>
    <xf numFmtId="9" fontId="0" fillId="0" borderId="0" xfId="0" applyNumberFormat="1"/>
    <xf numFmtId="0" fontId="3" fillId="0" borderId="2" xfId="0" applyFont="1" applyBorder="1"/>
    <xf numFmtId="9" fontId="3" fillId="0" borderId="6" xfId="2" applyFont="1" applyBorder="1"/>
    <xf numFmtId="9" fontId="3" fillId="6" borderId="6" xfId="2" applyFont="1" applyFill="1" applyBorder="1"/>
    <xf numFmtId="2" fontId="3" fillId="6" borderId="6" xfId="0" applyNumberFormat="1" applyFont="1" applyFill="1" applyBorder="1"/>
    <xf numFmtId="2" fontId="3" fillId="0" borderId="6" xfId="0" applyNumberFormat="1" applyFont="1" applyBorder="1"/>
    <xf numFmtId="9" fontId="3" fillId="6" borderId="6" xfId="0" applyNumberFormat="1" applyFont="1" applyFill="1" applyBorder="1"/>
    <xf numFmtId="164" fontId="3" fillId="0" borderId="2" xfId="0" applyNumberFormat="1" applyFont="1" applyBorder="1"/>
    <xf numFmtId="9" fontId="3" fillId="6" borderId="5" xfId="2" applyFont="1" applyFill="1" applyBorder="1"/>
    <xf numFmtId="0" fontId="2" fillId="29" borderId="1" xfId="0" applyFont="1" applyFill="1" applyBorder="1" applyAlignment="1">
      <alignment horizontal="center" vertical="center" wrapText="1"/>
    </xf>
    <xf numFmtId="0" fontId="2" fillId="29" borderId="2" xfId="0" applyFont="1" applyFill="1" applyBorder="1" applyAlignment="1">
      <alignment vertical="center" wrapText="1"/>
    </xf>
    <xf numFmtId="0" fontId="2" fillId="29" borderId="6" xfId="0" applyFont="1" applyFill="1" applyBorder="1" applyAlignment="1">
      <alignment vertical="center" wrapText="1"/>
    </xf>
    <xf numFmtId="0" fontId="3" fillId="29" borderId="2" xfId="0" applyFont="1" applyFill="1" applyBorder="1" applyAlignment="1">
      <alignment horizontal="center"/>
    </xf>
    <xf numFmtId="0" fontId="3" fillId="29" borderId="2" xfId="0" applyFont="1" applyFill="1" applyBorder="1"/>
    <xf numFmtId="0" fontId="3" fillId="29" borderId="0" xfId="0" applyFont="1" applyFill="1"/>
    <xf numFmtId="0" fontId="2" fillId="30" borderId="2" xfId="0" applyFont="1" applyFill="1" applyBorder="1" applyAlignment="1">
      <alignment horizontal="left" vertical="center" wrapText="1"/>
    </xf>
    <xf numFmtId="0" fontId="2" fillId="30" borderId="2" xfId="0" applyFont="1" applyFill="1" applyBorder="1" applyAlignment="1">
      <alignment horizontal="left" wrapText="1"/>
    </xf>
    <xf numFmtId="0" fontId="2" fillId="30" borderId="5" xfId="0" applyFont="1" applyFill="1" applyBorder="1" applyAlignment="1">
      <alignment horizontal="left" wrapText="1"/>
    </xf>
    <xf numFmtId="0" fontId="5" fillId="30" borderId="2" xfId="0" applyFont="1" applyFill="1" applyBorder="1" applyAlignment="1">
      <alignment wrapText="1"/>
    </xf>
    <xf numFmtId="0" fontId="2" fillId="30" borderId="9" xfId="0" applyFont="1" applyFill="1" applyBorder="1" applyAlignment="1">
      <alignment horizontal="left" wrapText="1"/>
    </xf>
    <xf numFmtId="0" fontId="3" fillId="30" borderId="2" xfId="0" applyFont="1" applyFill="1" applyBorder="1"/>
    <xf numFmtId="0" fontId="3" fillId="19" borderId="2" xfId="0" applyFont="1" applyFill="1" applyBorder="1" applyAlignment="1">
      <alignment vertical="top"/>
    </xf>
    <xf numFmtId="0" fontId="3" fillId="19" borderId="2" xfId="0" applyFont="1" applyFill="1" applyBorder="1" applyAlignment="1">
      <alignment horizontal="center" vertical="top"/>
    </xf>
    <xf numFmtId="0" fontId="3" fillId="19" borderId="2" xfId="0" applyFont="1" applyFill="1" applyBorder="1" applyAlignment="1">
      <alignment horizontal="right" vertical="top"/>
    </xf>
    <xf numFmtId="0" fontId="3" fillId="19" borderId="2" xfId="0" applyFont="1" applyFill="1" applyBorder="1" applyAlignment="1">
      <alignment horizontal="center" vertical="center"/>
    </xf>
    <xf numFmtId="4" fontId="3" fillId="19" borderId="2" xfId="0" applyNumberFormat="1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3" fillId="19" borderId="2" xfId="0" applyNumberFormat="1" applyFont="1" applyFill="1" applyBorder="1" applyAlignment="1">
      <alignment vertical="top"/>
    </xf>
    <xf numFmtId="0" fontId="3" fillId="19" borderId="2" xfId="2" applyNumberFormat="1" applyFont="1" applyFill="1" applyBorder="1" applyAlignment="1">
      <alignment vertical="top"/>
    </xf>
    <xf numFmtId="0" fontId="3" fillId="19" borderId="2" xfId="0" applyNumberFormat="1" applyFont="1" applyFill="1" applyBorder="1"/>
    <xf numFmtId="44" fontId="3" fillId="19" borderId="2" xfId="0" applyNumberFormat="1" applyFont="1" applyFill="1" applyBorder="1" applyAlignment="1">
      <alignment vertical="top"/>
    </xf>
    <xf numFmtId="4" fontId="3" fillId="19" borderId="2" xfId="0" applyNumberFormat="1" applyFont="1" applyFill="1" applyBorder="1" applyAlignment="1">
      <alignment vertical="top"/>
    </xf>
    <xf numFmtId="8" fontId="3" fillId="19" borderId="2" xfId="0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2" xfId="0" applyFont="1" applyBorder="1"/>
    <xf numFmtId="0" fontId="3" fillId="0" borderId="6" xfId="0" applyFont="1" applyBorder="1"/>
    <xf numFmtId="44" fontId="3" fillId="14" borderId="2" xfId="0" applyNumberFormat="1" applyFont="1" applyFill="1" applyBorder="1" applyAlignment="1">
      <alignment vertical="top"/>
    </xf>
    <xf numFmtId="0" fontId="21" fillId="0" borderId="0" xfId="0" applyFont="1" applyAlignment="1">
      <alignment vertical="top"/>
    </xf>
    <xf numFmtId="44" fontId="21" fillId="0" borderId="0" xfId="0" applyNumberFormat="1" applyFont="1" applyAlignment="1">
      <alignment vertical="top"/>
    </xf>
    <xf numFmtId="0" fontId="5" fillId="22" borderId="2" xfId="0" applyFont="1" applyFill="1" applyBorder="1" applyAlignment="1">
      <alignment horizontal="left" vertical="top"/>
    </xf>
    <xf numFmtId="0" fontId="11" fillId="22" borderId="6" xfId="0" applyFont="1" applyFill="1" applyBorder="1" applyAlignment="1">
      <alignment horizontal="left" vertical="top"/>
    </xf>
    <xf numFmtId="44" fontId="3" fillId="22" borderId="2" xfId="1" applyFont="1" applyFill="1" applyBorder="1" applyAlignment="1">
      <alignment horizontal="center" vertical="top"/>
    </xf>
    <xf numFmtId="44" fontId="3" fillId="22" borderId="2" xfId="1" applyFont="1" applyFill="1" applyBorder="1" applyAlignment="1">
      <alignment vertical="top"/>
    </xf>
    <xf numFmtId="44" fontId="3" fillId="22" borderId="2" xfId="1" applyFont="1" applyFill="1" applyBorder="1" applyAlignment="1">
      <alignment horizontal="center" vertical="center"/>
    </xf>
    <xf numFmtId="44" fontId="3" fillId="22" borderId="6" xfId="1" applyFont="1" applyFill="1" applyBorder="1" applyAlignment="1">
      <alignment horizontal="center" vertical="top"/>
    </xf>
    <xf numFmtId="0" fontId="3" fillId="22" borderId="2" xfId="0" applyFont="1" applyFill="1" applyBorder="1" applyAlignment="1">
      <alignment horizontal="center" vertical="top"/>
    </xf>
    <xf numFmtId="44" fontId="3" fillId="22" borderId="2" xfId="1" applyFont="1" applyFill="1" applyBorder="1"/>
    <xf numFmtId="0" fontId="3" fillId="22" borderId="2" xfId="1" applyNumberFormat="1" applyFont="1" applyFill="1" applyBorder="1"/>
    <xf numFmtId="0" fontId="3" fillId="22" borderId="0" xfId="0" applyNumberFormat="1" applyFont="1" applyFill="1" applyAlignment="1">
      <alignment vertical="top"/>
    </xf>
    <xf numFmtId="8" fontId="3" fillId="22" borderId="2" xfId="0" applyNumberFormat="1" applyFont="1" applyFill="1" applyBorder="1" applyAlignment="1">
      <alignment vertical="top"/>
    </xf>
    <xf numFmtId="0" fontId="3" fillId="22" borderId="2" xfId="0" applyFont="1" applyFill="1" applyBorder="1" applyAlignment="1">
      <alignment vertical="top"/>
    </xf>
    <xf numFmtId="0" fontId="3" fillId="22" borderId="2" xfId="0" applyNumberFormat="1" applyFont="1" applyFill="1" applyBorder="1" applyAlignment="1">
      <alignment vertical="top"/>
    </xf>
    <xf numFmtId="0" fontId="3" fillId="22" borderId="0" xfId="0" applyFont="1" applyFill="1" applyAlignment="1">
      <alignment vertical="top"/>
    </xf>
    <xf numFmtId="0" fontId="3" fillId="22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Border="1"/>
    <xf numFmtId="9" fontId="21" fillId="6" borderId="2" xfId="2" applyFont="1" applyFill="1" applyBorder="1"/>
    <xf numFmtId="9" fontId="2" fillId="10" borderId="2" xfId="0" applyNumberFormat="1" applyFont="1" applyFill="1" applyBorder="1" applyAlignment="1">
      <alignment horizontal="center" vertical="center"/>
    </xf>
    <xf numFmtId="9" fontId="3" fillId="6" borderId="2" xfId="2" applyFont="1" applyFill="1" applyBorder="1" applyAlignment="1"/>
    <xf numFmtId="9" fontId="3" fillId="6" borderId="2" xfId="0" applyNumberFormat="1" applyFont="1" applyFill="1" applyBorder="1" applyAlignment="1"/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/>
    <xf numFmtId="44" fontId="21" fillId="0" borderId="2" xfId="1" applyNumberFormat="1" applyFont="1" applyBorder="1"/>
    <xf numFmtId="44" fontId="21" fillId="0" borderId="2" xfId="1" applyFont="1" applyBorder="1"/>
    <xf numFmtId="44" fontId="21" fillId="0" borderId="2" xfId="0" applyNumberFormat="1" applyFont="1" applyBorder="1" applyAlignment="1"/>
    <xf numFmtId="44" fontId="21" fillId="0" borderId="2" xfId="0" applyNumberFormat="1" applyFont="1" applyBorder="1"/>
    <xf numFmtId="44" fontId="21" fillId="0" borderId="0" xfId="0" applyNumberFormat="1" applyFont="1"/>
    <xf numFmtId="0" fontId="3" fillId="0" borderId="2" xfId="2" applyNumberFormat="1" applyFont="1" applyBorder="1" applyAlignment="1"/>
    <xf numFmtId="0" fontId="3" fillId="0" borderId="2" xfId="0" applyFont="1" applyBorder="1"/>
    <xf numFmtId="8" fontId="3" fillId="0" borderId="0" xfId="0" applyNumberFormat="1" applyFont="1" applyAlignment="1">
      <alignment vertical="top"/>
    </xf>
    <xf numFmtId="0" fontId="3" fillId="14" borderId="2" xfId="2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5" fillId="5" borderId="7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3" fillId="5" borderId="6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9" fontId="3" fillId="6" borderId="2" xfId="2" applyFont="1" applyFill="1" applyBorder="1" applyAlignment="1">
      <alignment vertical="top"/>
    </xf>
    <xf numFmtId="2" fontId="3" fillId="6" borderId="2" xfId="2" applyNumberFormat="1" applyFont="1" applyFill="1" applyBorder="1"/>
    <xf numFmtId="3" fontId="3" fillId="14" borderId="2" xfId="0" applyNumberFormat="1" applyFont="1" applyFill="1" applyBorder="1" applyAlignment="1">
      <alignment horizontal="center" vertical="top"/>
    </xf>
    <xf numFmtId="3" fontId="3" fillId="19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/>
    <xf numFmtId="0" fontId="3" fillId="0" borderId="2" xfId="0" applyNumberFormat="1" applyFont="1" applyBorder="1" applyAlignment="1"/>
    <xf numFmtId="44" fontId="3" fillId="0" borderId="2" xfId="1" applyFont="1" applyBorder="1" applyAlignment="1"/>
    <xf numFmtId="9" fontId="3" fillId="6" borderId="2" xfId="2" applyFont="1" applyFill="1" applyBorder="1" applyAlignment="1">
      <alignment horizontal="right" vertical="center"/>
    </xf>
    <xf numFmtId="0" fontId="3" fillId="0" borderId="2" xfId="0" applyFont="1" applyBorder="1"/>
    <xf numFmtId="0" fontId="3" fillId="6" borderId="8" xfId="0" applyFont="1" applyFill="1" applyBorder="1"/>
    <xf numFmtId="0" fontId="3" fillId="6" borderId="8" xfId="2" applyNumberFormat="1" applyFont="1" applyFill="1" applyBorder="1"/>
    <xf numFmtId="0" fontId="3" fillId="6" borderId="5" xfId="0" applyFont="1" applyFill="1" applyBorder="1" applyAlignment="1">
      <alignment wrapText="1"/>
    </xf>
    <xf numFmtId="0" fontId="3" fillId="6" borderId="5" xfId="0" applyFont="1" applyFill="1" applyBorder="1"/>
    <xf numFmtId="0" fontId="3" fillId="0" borderId="2" xfId="0" applyFont="1" applyBorder="1"/>
    <xf numFmtId="44" fontId="3" fillId="0" borderId="2" xfId="0" applyNumberFormat="1" applyFont="1" applyFill="1" applyBorder="1"/>
    <xf numFmtId="0" fontId="3" fillId="6" borderId="9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44" fontId="3" fillId="0" borderId="2" xfId="0" applyNumberFormat="1" applyFont="1" applyFill="1" applyBorder="1" applyAlignment="1">
      <alignment horizontal="center"/>
    </xf>
    <xf numFmtId="44" fontId="3" fillId="0" borderId="2" xfId="2" applyNumberFormat="1" applyFont="1" applyBorder="1"/>
    <xf numFmtId="44" fontId="3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left" vertical="top" wrapText="1"/>
    </xf>
    <xf numFmtId="9" fontId="3" fillId="0" borderId="2" xfId="0" applyNumberFormat="1" applyFont="1" applyFill="1" applyBorder="1"/>
    <xf numFmtId="9" fontId="3" fillId="0" borderId="2" xfId="2" applyFont="1" applyFill="1" applyBorder="1"/>
    <xf numFmtId="9" fontId="3" fillId="0" borderId="6" xfId="0" applyNumberFormat="1" applyFont="1" applyFill="1" applyBorder="1"/>
    <xf numFmtId="2" fontId="3" fillId="0" borderId="2" xfId="0" applyNumberFormat="1" applyFont="1" applyFill="1" applyBorder="1"/>
    <xf numFmtId="0" fontId="3" fillId="0" borderId="0" xfId="0" applyFont="1" applyFill="1"/>
    <xf numFmtId="0" fontId="3" fillId="19" borderId="2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19" borderId="2" xfId="2" applyNumberFormat="1" applyFont="1" applyFill="1" applyBorder="1" applyAlignment="1">
      <alignment horizontal="center"/>
    </xf>
    <xf numFmtId="2" fontId="3" fillId="0" borderId="0" xfId="0" applyNumberFormat="1" applyFont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5" fillId="7" borderId="2" xfId="0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left" vertical="top"/>
    </xf>
    <xf numFmtId="44" fontId="3" fillId="7" borderId="2" xfId="1" applyFont="1" applyFill="1" applyBorder="1" applyAlignment="1">
      <alignment horizontal="center" vertical="top"/>
    </xf>
    <xf numFmtId="44" fontId="3" fillId="7" borderId="2" xfId="1" applyFont="1" applyFill="1" applyBorder="1" applyAlignment="1">
      <alignment vertical="top"/>
    </xf>
    <xf numFmtId="44" fontId="3" fillId="7" borderId="2" xfId="1" applyFont="1" applyFill="1" applyBorder="1" applyAlignment="1">
      <alignment horizontal="center" vertical="center"/>
    </xf>
    <xf numFmtId="44" fontId="3" fillId="7" borderId="6" xfId="1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top"/>
    </xf>
    <xf numFmtId="0" fontId="3" fillId="7" borderId="2" xfId="0" applyFont="1" applyFill="1" applyBorder="1" applyAlignment="1">
      <alignment horizontal="center" vertical="top"/>
    </xf>
    <xf numFmtId="44" fontId="3" fillId="7" borderId="2" xfId="1" applyFont="1" applyFill="1" applyBorder="1"/>
    <xf numFmtId="0" fontId="3" fillId="7" borderId="2" xfId="1" applyNumberFormat="1" applyFont="1" applyFill="1" applyBorder="1"/>
    <xf numFmtId="0" fontId="3" fillId="7" borderId="0" xfId="0" applyNumberFormat="1" applyFont="1" applyFill="1" applyAlignment="1">
      <alignment vertical="top"/>
    </xf>
    <xf numFmtId="8" fontId="3" fillId="7" borderId="2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8" fontId="3" fillId="7" borderId="0" xfId="0" applyNumberFormat="1" applyFont="1" applyFill="1" applyAlignment="1">
      <alignment vertical="top"/>
    </xf>
    <xf numFmtId="0" fontId="3" fillId="7" borderId="2" xfId="0" applyNumberFormat="1" applyFont="1" applyFill="1" applyBorder="1" applyAlignment="1">
      <alignment vertical="top"/>
    </xf>
    <xf numFmtId="0" fontId="3" fillId="7" borderId="0" xfId="0" applyFont="1" applyFill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8" fontId="3" fillId="6" borderId="2" xfId="0" applyNumberFormat="1" applyFont="1" applyFill="1" applyBorder="1" applyAlignment="1">
      <alignment vertical="top"/>
    </xf>
    <xf numFmtId="44" fontId="3" fillId="6" borderId="2" xfId="1" applyFont="1" applyFill="1" applyBorder="1" applyAlignment="1">
      <alignment vertical="top"/>
    </xf>
    <xf numFmtId="44" fontId="3" fillId="0" borderId="2" xfId="1" applyFont="1" applyBorder="1" applyAlignment="1">
      <alignment horizontal="center"/>
    </xf>
    <xf numFmtId="0" fontId="3" fillId="0" borderId="2" xfId="0" applyFont="1" applyBorder="1"/>
    <xf numFmtId="0" fontId="12" fillId="6" borderId="2" xfId="0" applyFont="1" applyFill="1" applyBorder="1" applyAlignment="1">
      <alignment horizontal="right" vertical="center"/>
    </xf>
    <xf numFmtId="0" fontId="3" fillId="19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right"/>
    </xf>
    <xf numFmtId="0" fontId="5" fillId="6" borderId="2" xfId="0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/>
    <xf numFmtId="0" fontId="22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5" borderId="0" xfId="2" applyNumberFormat="1" applyFont="1" applyFill="1"/>
    <xf numFmtId="0" fontId="3" fillId="5" borderId="0" xfId="0" applyFont="1" applyFill="1"/>
    <xf numFmtId="0" fontId="3" fillId="5" borderId="0" xfId="0" applyFont="1" applyFill="1" applyBorder="1"/>
    <xf numFmtId="0" fontId="3" fillId="5" borderId="0" xfId="2" applyNumberFormat="1" applyFont="1" applyFill="1" applyBorder="1"/>
    <xf numFmtId="1" fontId="3" fillId="0" borderId="0" xfId="0" applyNumberFormat="1" applyFont="1"/>
    <xf numFmtId="1" fontId="3" fillId="0" borderId="2" xfId="0" applyNumberFormat="1" applyFont="1" applyBorder="1"/>
    <xf numFmtId="9" fontId="3" fillId="0" borderId="2" xfId="0" applyNumberFormat="1" applyFont="1" applyBorder="1"/>
    <xf numFmtId="2" fontId="15" fillId="0" borderId="2" xfId="0" applyNumberFormat="1" applyFont="1" applyBorder="1"/>
    <xf numFmtId="0" fontId="15" fillId="0" borderId="2" xfId="0" applyFont="1" applyBorder="1"/>
    <xf numFmtId="0" fontId="15" fillId="0" borderId="2" xfId="2" applyNumberFormat="1" applyFont="1" applyBorder="1"/>
    <xf numFmtId="2" fontId="15" fillId="0" borderId="2" xfId="2" applyNumberFormat="1" applyFont="1" applyBorder="1"/>
    <xf numFmtId="0" fontId="21" fillId="0" borderId="2" xfId="0" applyFont="1" applyBorder="1"/>
    <xf numFmtId="9" fontId="21" fillId="0" borderId="2" xfId="2" applyFont="1" applyBorder="1"/>
    <xf numFmtId="0" fontId="5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4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6" xfId="0" applyFont="1" applyFill="1" applyBorder="1"/>
    <xf numFmtId="0" fontId="3" fillId="0" borderId="3" xfId="0" applyFont="1" applyFill="1" applyBorder="1"/>
    <xf numFmtId="0" fontId="3" fillId="0" borderId="2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5" fillId="18" borderId="5" xfId="0" applyFont="1" applyFill="1" applyBorder="1" applyAlignment="1">
      <alignment horizontal="left" vertical="top"/>
    </xf>
    <xf numFmtId="0" fontId="5" fillId="18" borderId="9" xfId="0" applyFont="1" applyFill="1" applyBorder="1" applyAlignment="1">
      <alignment horizontal="left" vertical="top"/>
    </xf>
    <xf numFmtId="0" fontId="5" fillId="18" borderId="8" xfId="0" applyFont="1" applyFill="1" applyBorder="1" applyAlignment="1">
      <alignment horizontal="left" vertical="top"/>
    </xf>
    <xf numFmtId="0" fontId="13" fillId="0" borderId="2" xfId="3" applyFont="1" applyBorder="1" applyAlignment="1">
      <alignment horizontal="center" vertical="top"/>
    </xf>
    <xf numFmtId="0" fontId="14" fillId="0" borderId="2" xfId="3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0" fillId="14" borderId="5" xfId="0" applyFont="1" applyFill="1" applyBorder="1" applyAlignment="1">
      <alignment horizontal="left" vertical="top" wrapText="1"/>
    </xf>
    <xf numFmtId="0" fontId="10" fillId="14" borderId="9" xfId="0" applyFont="1" applyFill="1" applyBorder="1" applyAlignment="1">
      <alignment horizontal="left" vertical="top" wrapText="1"/>
    </xf>
    <xf numFmtId="0" fontId="10" fillId="14" borderId="8" xfId="0" applyFont="1" applyFill="1" applyBorder="1" applyAlignment="1">
      <alignment horizontal="left" vertical="top" wrapText="1"/>
    </xf>
    <xf numFmtId="0" fontId="10" fillId="15" borderId="2" xfId="0" applyFont="1" applyFill="1" applyBorder="1" applyAlignment="1">
      <alignment horizontal="left" vertical="top"/>
    </xf>
    <xf numFmtId="0" fontId="10" fillId="16" borderId="2" xfId="0" applyFont="1" applyFill="1" applyBorder="1" applyAlignment="1">
      <alignment horizontal="left" vertical="top"/>
    </xf>
    <xf numFmtId="0" fontId="10" fillId="17" borderId="2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9" xfId="0" applyFont="1" applyFill="1" applyBorder="1" applyAlignment="1">
      <alignment horizontal="center" vertical="center" textRotation="90"/>
    </xf>
    <xf numFmtId="0" fontId="5" fillId="6" borderId="8" xfId="0" applyFont="1" applyFill="1" applyBorder="1" applyAlignment="1">
      <alignment horizontal="center" vertical="center" textRotation="90"/>
    </xf>
    <xf numFmtId="0" fontId="19" fillId="6" borderId="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3" fillId="0" borderId="8" xfId="0" applyFont="1" applyBorder="1"/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15" fillId="0" borderId="2" xfId="0" applyFont="1" applyBorder="1"/>
    <xf numFmtId="0" fontId="3" fillId="0" borderId="2" xfId="0" applyFont="1" applyBorder="1" applyAlignment="1">
      <alignment horizontal="center"/>
    </xf>
  </cellXfs>
  <cellStyles count="6">
    <cellStyle name="Hipervínculo" xfId="3" builtinId="8"/>
    <cellStyle name="Moneda" xfId="1" builtinId="4"/>
    <cellStyle name="Normal" xfId="0" builtinId="0"/>
    <cellStyle name="Normal 2" xfId="4"/>
    <cellStyle name="Normal 2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M3 NO ENTREGADOS EN EL DOMICILIO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'm3 entregados'!$B$3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'm3 entregados'!$C$3:$N$3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'm3 entregados'!$C$4:$N$4</c:f>
              <c:numCache>
                <c:formatCode>0.00</c:formatCode>
                <c:ptCount val="12"/>
                <c:pt idx="0">
                  <c:v>856.32258064516134</c:v>
                </c:pt>
                <c:pt idx="1">
                  <c:v>782.67857142857144</c:v>
                </c:pt>
                <c:pt idx="2">
                  <c:v>961.67741935483866</c:v>
                </c:pt>
                <c:pt idx="3">
                  <c:v>1077.7</c:v>
                </c:pt>
                <c:pt idx="4">
                  <c:v>1213.9677419354839</c:v>
                </c:pt>
                <c:pt idx="5">
                  <c:v>1078.4333333333334</c:v>
                </c:pt>
                <c:pt idx="6">
                  <c:v>757.38709677419354</c:v>
                </c:pt>
                <c:pt idx="7">
                  <c:v>1016.4193548387096</c:v>
                </c:pt>
                <c:pt idx="8">
                  <c:v>666.0333333333333</c:v>
                </c:pt>
                <c:pt idx="9">
                  <c:v>802.74193548387098</c:v>
                </c:pt>
                <c:pt idx="10">
                  <c:v>1323.7666666666667</c:v>
                </c:pt>
                <c:pt idx="11">
                  <c:v>1068.4516129032259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'm3 entregados'!$B$7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'm3 entregados'!$C$8:$N$8</c:f>
              <c:numCache>
                <c:formatCode>0.00</c:formatCode>
                <c:ptCount val="12"/>
                <c:pt idx="0">
                  <c:v>899.09677419354841</c:v>
                </c:pt>
                <c:pt idx="1">
                  <c:v>584.25</c:v>
                </c:pt>
                <c:pt idx="2">
                  <c:v>1021.6451612903226</c:v>
                </c:pt>
                <c:pt idx="3">
                  <c:v>1130.5333333333333</c:v>
                </c:pt>
                <c:pt idx="4">
                  <c:v>789.29032258064512</c:v>
                </c:pt>
                <c:pt idx="5">
                  <c:v>500.1</c:v>
                </c:pt>
                <c:pt idx="6">
                  <c:v>689.80645161290317</c:v>
                </c:pt>
                <c:pt idx="7">
                  <c:v>528.54838709677415</c:v>
                </c:pt>
                <c:pt idx="8">
                  <c:v>387.16666666666669</c:v>
                </c:pt>
                <c:pt idx="9">
                  <c:v>597.32258064516134</c:v>
                </c:pt>
                <c:pt idx="10">
                  <c:v>579.1</c:v>
                </c:pt>
                <c:pt idx="11">
                  <c:v>925.0322580645161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'm3 entregados'!$B$11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'm3 entregados'!$C$12:$N$12</c:f>
              <c:numCache>
                <c:formatCode>0.00</c:formatCode>
                <c:ptCount val="12"/>
                <c:pt idx="0">
                  <c:v>448.83870967741933</c:v>
                </c:pt>
                <c:pt idx="1">
                  <c:v>680.10714285714289</c:v>
                </c:pt>
                <c:pt idx="2">
                  <c:v>982.51612903225805</c:v>
                </c:pt>
                <c:pt idx="3">
                  <c:v>1052.3666666666666</c:v>
                </c:pt>
                <c:pt idx="4">
                  <c:v>1141.483870967742</c:v>
                </c:pt>
                <c:pt idx="5">
                  <c:v>440.29032258064518</c:v>
                </c:pt>
                <c:pt idx="6">
                  <c:v>873.83870967741939</c:v>
                </c:pt>
                <c:pt idx="7">
                  <c:v>986.67741935483866</c:v>
                </c:pt>
                <c:pt idx="8">
                  <c:v>1026.7</c:v>
                </c:pt>
                <c:pt idx="9">
                  <c:v>781.0322580645161</c:v>
                </c:pt>
                <c:pt idx="10">
                  <c:v>708.25806451612902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59952"/>
        <c:axId val="251260344"/>
      </c:lineChart>
      <c:catAx>
        <c:axId val="25125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1260344"/>
        <c:crosses val="autoZero"/>
        <c:auto val="1"/>
        <c:lblAlgn val="ctr"/>
        <c:lblOffset val="100"/>
        <c:noMultiLvlLbl val="0"/>
      </c:catAx>
      <c:valAx>
        <c:axId val="2512603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51259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 tratado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'TRATAMIENTO DE AGUA'!$G$8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'TRATAMIENTO DE AGUA'!$B$9:$M$9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</c:v>
                </c:pt>
                <c:pt idx="8">
                  <c:v>SEPT</c:v>
                </c:pt>
                <c:pt idx="9">
                  <c:v>OCTU</c:v>
                </c:pt>
                <c:pt idx="10">
                  <c:v>NOV </c:v>
                </c:pt>
                <c:pt idx="11">
                  <c:v>DIC</c:v>
                </c:pt>
              </c:strCache>
            </c:strRef>
          </c:cat>
          <c:val>
            <c:numRef>
              <c:f>'TRATAMIENTO DE AGUA'!$B$11:$M$11</c:f>
              <c:numCache>
                <c:formatCode>General</c:formatCode>
                <c:ptCount val="12"/>
                <c:pt idx="0">
                  <c:v>12088</c:v>
                </c:pt>
                <c:pt idx="1">
                  <c:v>10732.8</c:v>
                </c:pt>
                <c:pt idx="2">
                  <c:v>11721.599999999977</c:v>
                </c:pt>
                <c:pt idx="3">
                  <c:v>14303.1</c:v>
                </c:pt>
                <c:pt idx="4" formatCode="0.00">
                  <c:v>14862.2</c:v>
                </c:pt>
                <c:pt idx="5" formatCode="0.00">
                  <c:v>17092</c:v>
                </c:pt>
                <c:pt idx="6">
                  <c:v>19553.3</c:v>
                </c:pt>
                <c:pt idx="7">
                  <c:v>19155.200000000012</c:v>
                </c:pt>
                <c:pt idx="8">
                  <c:v>18500.900000000001</c:v>
                </c:pt>
                <c:pt idx="9">
                  <c:v>19004</c:v>
                </c:pt>
                <c:pt idx="10">
                  <c:v>17081</c:v>
                </c:pt>
                <c:pt idx="11">
                  <c:v>16639</c:v>
                </c:pt>
              </c:numCache>
            </c:numRef>
          </c:val>
        </c:ser>
        <c:ser>
          <c:idx val="1"/>
          <c:order val="1"/>
          <c:tx>
            <c:strRef>
              <c:f>'TRATAMIENTO DE AGUA'!$G$16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'TRATAMIENTO DE AGUA'!$B$19:$M$19</c:f>
              <c:numCache>
                <c:formatCode>General</c:formatCode>
                <c:ptCount val="12"/>
                <c:pt idx="0">
                  <c:v>13491</c:v>
                </c:pt>
                <c:pt idx="1">
                  <c:v>13579</c:v>
                </c:pt>
                <c:pt idx="2" formatCode="0.0">
                  <c:v>13570</c:v>
                </c:pt>
                <c:pt idx="3" formatCode="0.0">
                  <c:v>14750</c:v>
                </c:pt>
                <c:pt idx="4" formatCode="0.00">
                  <c:v>18799</c:v>
                </c:pt>
                <c:pt idx="5" formatCode="0.00">
                  <c:v>17234</c:v>
                </c:pt>
                <c:pt idx="6">
                  <c:v>20530</c:v>
                </c:pt>
                <c:pt idx="7">
                  <c:v>18898.5</c:v>
                </c:pt>
                <c:pt idx="8">
                  <c:v>19523.400000000001</c:v>
                </c:pt>
                <c:pt idx="9">
                  <c:v>20224.5</c:v>
                </c:pt>
                <c:pt idx="10">
                  <c:v>17583.900000000001</c:v>
                </c:pt>
                <c:pt idx="11">
                  <c:v>14860</c:v>
                </c:pt>
              </c:numCache>
            </c:numRef>
          </c:val>
        </c:ser>
        <c:ser>
          <c:idx val="2"/>
          <c:order val="2"/>
          <c:tx>
            <c:strRef>
              <c:f>'TRATAMIENTO DE AGUA'!$G$24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'TRATAMIENTO DE AGUA'!$B$27:$M$27</c:f>
              <c:numCache>
                <c:formatCode>General</c:formatCode>
                <c:ptCount val="12"/>
                <c:pt idx="0">
                  <c:v>15835</c:v>
                </c:pt>
                <c:pt idx="1">
                  <c:v>19091.3</c:v>
                </c:pt>
                <c:pt idx="2" formatCode="0.0">
                  <c:v>19192</c:v>
                </c:pt>
                <c:pt idx="3" formatCode="0.0">
                  <c:v>19301</c:v>
                </c:pt>
                <c:pt idx="4" formatCode="0.00">
                  <c:v>18437</c:v>
                </c:pt>
                <c:pt idx="5" formatCode="0.00">
                  <c:v>18490</c:v>
                </c:pt>
                <c:pt idx="6">
                  <c:v>19283</c:v>
                </c:pt>
                <c:pt idx="7">
                  <c:v>18969.400000000001</c:v>
                </c:pt>
                <c:pt idx="8">
                  <c:v>17443.7</c:v>
                </c:pt>
                <c:pt idx="9">
                  <c:v>16922.400000000001</c:v>
                </c:pt>
                <c:pt idx="10">
                  <c:v>14531.3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22648"/>
        <c:axId val="309823040"/>
      </c:barChart>
      <c:catAx>
        <c:axId val="309822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9823040"/>
        <c:crosses val="autoZero"/>
        <c:auto val="1"/>
        <c:lblAlgn val="ctr"/>
        <c:lblOffset val="100"/>
        <c:noMultiLvlLbl val="0"/>
      </c:catAx>
      <c:valAx>
        <c:axId val="309823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822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 no tratado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'TRATAMIENTO DE AGUA'!$G$8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'TRATAMIENTO DE AGUA'!$B$9:$M$9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</c:v>
                </c:pt>
                <c:pt idx="8">
                  <c:v>SEPT</c:v>
                </c:pt>
                <c:pt idx="9">
                  <c:v>OCTU</c:v>
                </c:pt>
                <c:pt idx="10">
                  <c:v>NOV </c:v>
                </c:pt>
                <c:pt idx="11">
                  <c:v>DIC</c:v>
                </c:pt>
              </c:strCache>
            </c:strRef>
          </c:cat>
          <c:val>
            <c:numRef>
              <c:f>'TRATAMIENTO DE AGUA'!$B$12:$M$12</c:f>
              <c:numCache>
                <c:formatCode>General</c:formatCode>
                <c:ptCount val="12"/>
                <c:pt idx="0">
                  <c:v>6415</c:v>
                </c:pt>
                <c:pt idx="1">
                  <c:v>8494.2000000000007</c:v>
                </c:pt>
                <c:pt idx="2">
                  <c:v>8388.4000000000233</c:v>
                </c:pt>
                <c:pt idx="3">
                  <c:v>5975.9</c:v>
                </c:pt>
                <c:pt idx="4">
                  <c:v>5881.7999999999993</c:v>
                </c:pt>
                <c:pt idx="5">
                  <c:v>3768</c:v>
                </c:pt>
                <c:pt idx="6">
                  <c:v>3012.7000000000007</c:v>
                </c:pt>
                <c:pt idx="7">
                  <c:v>3201.7999999999884</c:v>
                </c:pt>
                <c:pt idx="8">
                  <c:v>2504.0999999999985</c:v>
                </c:pt>
                <c:pt idx="9">
                  <c:v>2651</c:v>
                </c:pt>
                <c:pt idx="10">
                  <c:v>2913</c:v>
                </c:pt>
                <c:pt idx="11">
                  <c:v>2197</c:v>
                </c:pt>
              </c:numCache>
            </c:numRef>
          </c:val>
        </c:ser>
        <c:ser>
          <c:idx val="1"/>
          <c:order val="1"/>
          <c:tx>
            <c:strRef>
              <c:f>'TRATAMIENTO DE AGUA'!$G$16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'TRATAMIENTO DE AGUA'!$B$9:$M$9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</c:v>
                </c:pt>
                <c:pt idx="8">
                  <c:v>SEPT</c:v>
                </c:pt>
                <c:pt idx="9">
                  <c:v>OCTU</c:v>
                </c:pt>
                <c:pt idx="10">
                  <c:v>NOV </c:v>
                </c:pt>
                <c:pt idx="11">
                  <c:v>DIC</c:v>
                </c:pt>
              </c:strCache>
            </c:strRef>
          </c:cat>
          <c:val>
            <c:numRef>
              <c:f>'TRATAMIENTO DE AGUA'!$B$20:$M$20</c:f>
              <c:numCache>
                <c:formatCode>General</c:formatCode>
                <c:ptCount val="12"/>
                <c:pt idx="0">
                  <c:v>3827</c:v>
                </c:pt>
                <c:pt idx="1">
                  <c:v>3117</c:v>
                </c:pt>
                <c:pt idx="2">
                  <c:v>3302</c:v>
                </c:pt>
                <c:pt idx="3">
                  <c:v>3123</c:v>
                </c:pt>
                <c:pt idx="4">
                  <c:v>2765</c:v>
                </c:pt>
                <c:pt idx="5">
                  <c:v>4281</c:v>
                </c:pt>
                <c:pt idx="6">
                  <c:v>2442</c:v>
                </c:pt>
                <c:pt idx="7">
                  <c:v>2928.5</c:v>
                </c:pt>
                <c:pt idx="8">
                  <c:v>4053.5999999999985</c:v>
                </c:pt>
                <c:pt idx="9">
                  <c:v>5113.5</c:v>
                </c:pt>
                <c:pt idx="10">
                  <c:v>6337.0999999999985</c:v>
                </c:pt>
                <c:pt idx="11">
                  <c:v>4900</c:v>
                </c:pt>
              </c:numCache>
            </c:numRef>
          </c:val>
        </c:ser>
        <c:ser>
          <c:idx val="2"/>
          <c:order val="2"/>
          <c:tx>
            <c:strRef>
              <c:f>'TRATAMIENTO DE AGUA'!$G$24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'TRATAMIENTO DE AGUA'!$B$9:$M$9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</c:v>
                </c:pt>
                <c:pt idx="8">
                  <c:v>SEPT</c:v>
                </c:pt>
                <c:pt idx="9">
                  <c:v>OCTU</c:v>
                </c:pt>
                <c:pt idx="10">
                  <c:v>NOV </c:v>
                </c:pt>
                <c:pt idx="11">
                  <c:v>DIC</c:v>
                </c:pt>
              </c:strCache>
            </c:strRef>
          </c:cat>
          <c:val>
            <c:numRef>
              <c:f>'TRATAMIENTO DE AGUA'!$B$28:$M$28</c:f>
              <c:numCache>
                <c:formatCode>General</c:formatCode>
                <c:ptCount val="12"/>
                <c:pt idx="0">
                  <c:v>4626</c:v>
                </c:pt>
                <c:pt idx="1">
                  <c:v>3328.7000000000007</c:v>
                </c:pt>
                <c:pt idx="2">
                  <c:v>3842</c:v>
                </c:pt>
                <c:pt idx="3">
                  <c:v>2810</c:v>
                </c:pt>
                <c:pt idx="4">
                  <c:v>10858</c:v>
                </c:pt>
                <c:pt idx="5">
                  <c:v>3131</c:v>
                </c:pt>
                <c:pt idx="6">
                  <c:v>1705</c:v>
                </c:pt>
                <c:pt idx="7">
                  <c:v>4025.7</c:v>
                </c:pt>
                <c:pt idx="8">
                  <c:v>3300</c:v>
                </c:pt>
                <c:pt idx="9">
                  <c:v>3300</c:v>
                </c:pt>
                <c:pt idx="10">
                  <c:v>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0943128"/>
        <c:axId val="310943520"/>
        <c:axId val="0"/>
      </c:bar3DChart>
      <c:catAx>
        <c:axId val="310943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0943520"/>
        <c:crosses val="autoZero"/>
        <c:auto val="1"/>
        <c:lblAlgn val="ctr"/>
        <c:lblOffset val="100"/>
        <c:noMultiLvlLbl val="0"/>
      </c:catAx>
      <c:valAx>
        <c:axId val="310943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0943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/>
              <a:t>CUNSUMOS</a:t>
            </a:r>
            <a:r>
              <a:rPr lang="es-MX" sz="1000" baseline="0"/>
              <a:t> FACTURADOS - COBRADOS</a:t>
            </a:r>
            <a:endParaRPr lang="es-MX" sz="1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'GRAFICOS POR USO'!$E$2</c:f>
              <c:strCache>
                <c:ptCount val="1"/>
                <c:pt idx="0">
                  <c:v>GRAFICOS DE CONSUMOS COBRADOS</c:v>
                </c:pt>
              </c:strCache>
            </c:strRef>
          </c:tx>
          <c:cat>
            <c:strRef>
              <c:f>'GRAFICOS POR USO'!$C$4:$N$4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POR USO'!$C$11:$N$11</c:f>
              <c:numCache>
                <c:formatCode>General</c:formatCode>
                <c:ptCount val="12"/>
                <c:pt idx="0">
                  <c:v>117559</c:v>
                </c:pt>
                <c:pt idx="1">
                  <c:v>74734</c:v>
                </c:pt>
                <c:pt idx="2">
                  <c:v>67559</c:v>
                </c:pt>
                <c:pt idx="3">
                  <c:v>74388</c:v>
                </c:pt>
                <c:pt idx="4">
                  <c:v>69959</c:v>
                </c:pt>
                <c:pt idx="5">
                  <c:v>69695</c:v>
                </c:pt>
                <c:pt idx="6">
                  <c:v>67902</c:v>
                </c:pt>
                <c:pt idx="7">
                  <c:v>59437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'GRAFICOS POR USO'!$E$13</c:f>
              <c:strCache>
                <c:ptCount val="1"/>
                <c:pt idx="0">
                  <c:v>GRAFICOS DE CONSUMOS FACTURADOS</c:v>
                </c:pt>
              </c:strCache>
            </c:strRef>
          </c:tx>
          <c:val>
            <c:numRef>
              <c:f>'GRAFICOS POR USO'!$C$22:$N$22</c:f>
              <c:numCache>
                <c:formatCode>General</c:formatCode>
                <c:ptCount val="12"/>
                <c:pt idx="0">
                  <c:v>47048</c:v>
                </c:pt>
                <c:pt idx="1">
                  <c:v>54577</c:v>
                </c:pt>
                <c:pt idx="2">
                  <c:v>63015</c:v>
                </c:pt>
                <c:pt idx="3">
                  <c:v>63161</c:v>
                </c:pt>
                <c:pt idx="4">
                  <c:v>69269</c:v>
                </c:pt>
                <c:pt idx="5">
                  <c:v>75431</c:v>
                </c:pt>
                <c:pt idx="6">
                  <c:v>60451</c:v>
                </c:pt>
                <c:pt idx="7">
                  <c:v>58340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43912"/>
        <c:axId val="463412288"/>
      </c:lineChart>
      <c:catAx>
        <c:axId val="31094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412288"/>
        <c:crosses val="autoZero"/>
        <c:auto val="1"/>
        <c:lblAlgn val="ctr"/>
        <c:lblOffset val="100"/>
        <c:noMultiLvlLbl val="0"/>
      </c:catAx>
      <c:valAx>
        <c:axId val="46341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10943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IMPORTES</a:t>
            </a:r>
            <a:r>
              <a:rPr lang="es-MX" sz="1050" baseline="0"/>
              <a:t> COBRADOS - FACTURADOS</a:t>
            </a:r>
            <a:endParaRPr lang="es-MX" sz="105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POR USO'!$E$24</c:f>
              <c:strCache>
                <c:ptCount val="1"/>
                <c:pt idx="0">
                  <c:v>GRAFICOS DE IMPORTES COBRADOS COBRADOS</c:v>
                </c:pt>
              </c:strCache>
            </c:strRef>
          </c:tx>
          <c:invertIfNegative val="0"/>
          <c:cat>
            <c:strRef>
              <c:f>'GRAFICOS POR USO'!$C$4:$N$4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POR USO'!$C$33:$N$33</c:f>
              <c:numCache>
                <c:formatCode>_("$"* #,##0.00_);_("$"* \(#,##0.00\);_("$"* "-"??_);_(@_)</c:formatCode>
                <c:ptCount val="12"/>
                <c:pt idx="0">
                  <c:v>1605993</c:v>
                </c:pt>
                <c:pt idx="1">
                  <c:v>779303</c:v>
                </c:pt>
                <c:pt idx="2">
                  <c:v>827713</c:v>
                </c:pt>
                <c:pt idx="3">
                  <c:v>834721</c:v>
                </c:pt>
                <c:pt idx="4">
                  <c:v>889508</c:v>
                </c:pt>
                <c:pt idx="5">
                  <c:v>870541</c:v>
                </c:pt>
                <c:pt idx="6">
                  <c:v>910793</c:v>
                </c:pt>
                <c:pt idx="7">
                  <c:v>801406</c:v>
                </c:pt>
              </c:numCache>
            </c:numRef>
          </c:val>
        </c:ser>
        <c:ser>
          <c:idx val="1"/>
          <c:order val="1"/>
          <c:tx>
            <c:strRef>
              <c:f>'GRAFICOS POR USO'!$E$36</c:f>
              <c:strCache>
                <c:ptCount val="1"/>
                <c:pt idx="0">
                  <c:v>GRAFICOS DE IMPORTES COBRADOS FACTURADOS</c:v>
                </c:pt>
              </c:strCache>
            </c:strRef>
          </c:tx>
          <c:invertIfNegative val="0"/>
          <c:val>
            <c:numRef>
              <c:f>'GRAFICOS POR USO'!$C$45:$N$45</c:f>
              <c:numCache>
                <c:formatCode>_("$"* #,##0.00_);_("$"* \(#,##0.00\);_("$"* "-"??_);_(@_)</c:formatCode>
                <c:ptCount val="12"/>
                <c:pt idx="0">
                  <c:v>642790</c:v>
                </c:pt>
                <c:pt idx="1">
                  <c:v>959994</c:v>
                </c:pt>
                <c:pt idx="2">
                  <c:v>829357</c:v>
                </c:pt>
                <c:pt idx="3">
                  <c:v>832120</c:v>
                </c:pt>
                <c:pt idx="4">
                  <c:v>887169</c:v>
                </c:pt>
                <c:pt idx="5">
                  <c:v>941062</c:v>
                </c:pt>
                <c:pt idx="6">
                  <c:v>831640</c:v>
                </c:pt>
                <c:pt idx="7">
                  <c:v>817975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3413072"/>
        <c:axId val="463413464"/>
      </c:barChart>
      <c:catAx>
        <c:axId val="46341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413464"/>
        <c:crosses val="autoZero"/>
        <c:auto val="1"/>
        <c:lblAlgn val="ctr"/>
        <c:lblOffset val="100"/>
        <c:noMultiLvlLbl val="0"/>
      </c:catAx>
      <c:valAx>
        <c:axId val="4634134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6341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COSTO DE M3 INGRESADO - FACTURADO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'GRAFICOS POR USO'!$E$47</c:f>
              <c:strCache>
                <c:ptCount val="1"/>
                <c:pt idx="0">
                  <c:v>PRECIO POR M3 INGRESADO</c:v>
                </c:pt>
              </c:strCache>
            </c:strRef>
          </c:tx>
          <c:cat>
            <c:strRef>
              <c:f>'GRAFICOS POR USO'!$C$38:$N$38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POR USO'!$C$56:$N$56</c:f>
              <c:numCache>
                <c:formatCode>_("$"* #,##0.00_);_("$"* \(#,##0.00\);_("$"* "-"??_);_(@_)</c:formatCode>
                <c:ptCount val="12"/>
                <c:pt idx="0">
                  <c:v>16.706533104687331</c:v>
                </c:pt>
                <c:pt idx="1">
                  <c:v>16.049538296308423</c:v>
                </c:pt>
                <c:pt idx="2">
                  <c:v>14.85271515525686</c:v>
                </c:pt>
                <c:pt idx="3">
                  <c:v>14.028032164629046</c:v>
                </c:pt>
                <c:pt idx="4">
                  <c:v>15.615468124592844</c:v>
                </c:pt>
                <c:pt idx="5">
                  <c:v>15.87140911919043</c:v>
                </c:pt>
                <c:pt idx="6">
                  <c:v>16.079487143654905</c:v>
                </c:pt>
                <c:pt idx="7">
                  <c:v>15.205085113647153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'GRAFICOS POR USO'!$E$58</c:f>
              <c:strCache>
                <c:ptCount val="1"/>
                <c:pt idx="0">
                  <c:v>COSTO  POR M3 FACTURADO</c:v>
                </c:pt>
              </c:strCache>
            </c:strRef>
          </c:tx>
          <c:val>
            <c:numRef>
              <c:f>'GRAFICOS POR USO'!$C$66:$N$66</c:f>
              <c:numCache>
                <c:formatCode>_("$"* #,##0.00_);_("$"* \(#,##0.00\);_("$"* "-"??_);_(@_)</c:formatCode>
                <c:ptCount val="12"/>
                <c:pt idx="0">
                  <c:v>15.568764608885189</c:v>
                </c:pt>
                <c:pt idx="1">
                  <c:v>17.543805308417504</c:v>
                </c:pt>
                <c:pt idx="2">
                  <c:v>15.566427236141882</c:v>
                </c:pt>
                <c:pt idx="3">
                  <c:v>15.723070182488549</c:v>
                </c:pt>
                <c:pt idx="4">
                  <c:v>15.695500985998814</c:v>
                </c:pt>
                <c:pt idx="5">
                  <c:v>15.22481702892415</c:v>
                </c:pt>
                <c:pt idx="6">
                  <c:v>16.219359235676507</c:v>
                </c:pt>
                <c:pt idx="7">
                  <c:v>16.179881889134283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92184"/>
        <c:axId val="304892576"/>
      </c:lineChart>
      <c:catAx>
        <c:axId val="30489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892576"/>
        <c:crosses val="autoZero"/>
        <c:auto val="1"/>
        <c:lblAlgn val="ctr"/>
        <c:lblOffset val="100"/>
        <c:noMultiLvlLbl val="0"/>
      </c:catAx>
      <c:valAx>
        <c:axId val="3048925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4892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Eficiencia Fisica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eficiencias!$H$3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eficiencias!$C$4:$N$4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eficiencias!$C$5:$N$5</c:f>
              <c:numCache>
                <c:formatCode>0%</c:formatCode>
                <c:ptCount val="12"/>
                <c:pt idx="0">
                  <c:v>0.58542199217216984</c:v>
                </c:pt>
                <c:pt idx="1">
                  <c:v>0.709330857483918</c:v>
                </c:pt>
                <c:pt idx="2">
                  <c:v>0.63157764650633974</c:v>
                </c:pt>
                <c:pt idx="3">
                  <c:v>0.61888202565069783</c:v>
                </c:pt>
                <c:pt idx="4">
                  <c:v>0.61888202565069783</c:v>
                </c:pt>
                <c:pt idx="5">
                  <c:v>0.58821984659320936</c:v>
                </c:pt>
                <c:pt idx="6">
                  <c:v>0.64090924226111856</c:v>
                </c:pt>
                <c:pt idx="7">
                  <c:v>0.71209427229586397</c:v>
                </c:pt>
                <c:pt idx="8">
                  <c:v>0.71614672121832024</c:v>
                </c:pt>
                <c:pt idx="9">
                  <c:v>0.71614672121832024</c:v>
                </c:pt>
                <c:pt idx="10">
                  <c:v>0.66157131005970271</c:v>
                </c:pt>
                <c:pt idx="11">
                  <c:v>0.54008714028542359</c:v>
                </c:pt>
              </c:numCache>
            </c:numRef>
          </c:val>
        </c:ser>
        <c:ser>
          <c:idx val="1"/>
          <c:order val="1"/>
          <c:tx>
            <c:strRef>
              <c:f>eficiencias!$H$8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eficiencias!$C$9:$N$9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0.72</c:v>
                </c:pt>
                <c:pt idx="5">
                  <c:v>0.79</c:v>
                </c:pt>
                <c:pt idx="6">
                  <c:v>0.72</c:v>
                </c:pt>
                <c:pt idx="7">
                  <c:v>0.7906123805142361</c:v>
                </c:pt>
                <c:pt idx="8">
                  <c:v>0.82335406749501927</c:v>
                </c:pt>
                <c:pt idx="9">
                  <c:v>0.73823121942944381</c:v>
                </c:pt>
                <c:pt idx="10">
                  <c:v>0.75030182821662639</c:v>
                </c:pt>
                <c:pt idx="11">
                  <c:v>0.63648348862267856</c:v>
                </c:pt>
              </c:numCache>
            </c:numRef>
          </c:val>
        </c:ser>
        <c:ser>
          <c:idx val="2"/>
          <c:order val="2"/>
          <c:tx>
            <c:strRef>
              <c:f>eficiencias!$H$12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eficiencias!$C$13:$N$13</c:f>
              <c:numCache>
                <c:formatCode>0%</c:formatCode>
                <c:ptCount val="12"/>
                <c:pt idx="0">
                  <c:v>0.61397922430443175</c:v>
                </c:pt>
                <c:pt idx="1">
                  <c:v>0.74133387666395001</c:v>
                </c:pt>
                <c:pt idx="2">
                  <c:v>0.67415189412985566</c:v>
                </c:pt>
                <c:pt idx="3">
                  <c:v>0.66673352193556557</c:v>
                </c:pt>
                <c:pt idx="4">
                  <c:v>0.66187950886245284</c:v>
                </c:pt>
                <c:pt idx="5">
                  <c:v>0.84676785594000492</c:v>
                </c:pt>
                <c:pt idx="6">
                  <c:v>0.69039019818501846</c:v>
                </c:pt>
                <c:pt idx="7">
                  <c:v>0.65555568067927161</c:v>
                </c:pt>
                <c:pt idx="8">
                  <c:v>0.64717000584212514</c:v>
                </c:pt>
                <c:pt idx="9">
                  <c:v>0.7182160979470229</c:v>
                </c:pt>
                <c:pt idx="10">
                  <c:v>0.73300256587987789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93360"/>
        <c:axId val="304893752"/>
      </c:barChart>
      <c:catAx>
        <c:axId val="30489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893752"/>
        <c:crosses val="autoZero"/>
        <c:auto val="1"/>
        <c:lblAlgn val="ctr"/>
        <c:lblOffset val="100"/>
        <c:noMultiLvlLbl val="0"/>
      </c:catAx>
      <c:valAx>
        <c:axId val="304893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0489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Eficiencia Comercial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eficiencias!$H$3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eficiencias!$C$4:$N$4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eficiencias!$C$6:$N$6</c:f>
              <c:numCache>
                <c:formatCode>0%</c:formatCode>
                <c:ptCount val="12"/>
                <c:pt idx="0">
                  <c:v>0.96796795721377782</c:v>
                </c:pt>
                <c:pt idx="1">
                  <c:v>0.94660059507115246</c:v>
                </c:pt>
                <c:pt idx="2">
                  <c:v>0.98356193585130181</c:v>
                </c:pt>
                <c:pt idx="3">
                  <c:v>0.9391777739011814</c:v>
                </c:pt>
                <c:pt idx="4">
                  <c:v>0.91561189693572675</c:v>
                </c:pt>
                <c:pt idx="5">
                  <c:v>1.3380302803177935</c:v>
                </c:pt>
                <c:pt idx="6">
                  <c:v>0.97812205946638808</c:v>
                </c:pt>
                <c:pt idx="7">
                  <c:v>1.045089335751036</c:v>
                </c:pt>
                <c:pt idx="8">
                  <c:v>0.94856217474018523</c:v>
                </c:pt>
                <c:pt idx="9">
                  <c:v>1.1457351466882577</c:v>
                </c:pt>
                <c:pt idx="10">
                  <c:v>1.0679720345550425</c:v>
                </c:pt>
                <c:pt idx="11">
                  <c:v>0.75493556762611702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eficiencias!$H$8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eficiencias!$C$10:$N$10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0.99</c:v>
                </c:pt>
                <c:pt idx="5">
                  <c:v>0.96</c:v>
                </c:pt>
                <c:pt idx="6">
                  <c:v>0.97</c:v>
                </c:pt>
                <c:pt idx="7">
                  <c:v>0.97695726928527227</c:v>
                </c:pt>
                <c:pt idx="8">
                  <c:v>0.96027546069220693</c:v>
                </c:pt>
                <c:pt idx="9">
                  <c:v>1.0311223222952077</c:v>
                </c:pt>
                <c:pt idx="10">
                  <c:v>1.0656540399432208</c:v>
                </c:pt>
                <c:pt idx="11">
                  <c:v>0.90322981661435653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eficiencias!$H$12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eficiencias!$C$14:$N$14</c:f>
              <c:numCache>
                <c:formatCode>0%</c:formatCode>
                <c:ptCount val="12"/>
                <c:pt idx="0">
                  <c:v>0.98</c:v>
                </c:pt>
                <c:pt idx="1">
                  <c:v>0.81177903195228307</c:v>
                </c:pt>
                <c:pt idx="2">
                  <c:v>0.97902592008025491</c:v>
                </c:pt>
                <c:pt idx="3">
                  <c:v>1.0086790366774023</c:v>
                </c:pt>
                <c:pt idx="4">
                  <c:v>1.0086790366774023</c:v>
                </c:pt>
                <c:pt idx="5">
                  <c:v>0.92732253560339273</c:v>
                </c:pt>
                <c:pt idx="6">
                  <c:v>1.0943220624308596</c:v>
                </c:pt>
                <c:pt idx="7">
                  <c:v>0.98542253736361141</c:v>
                </c:pt>
                <c:pt idx="8">
                  <c:v>1.0077483241571277</c:v>
                </c:pt>
                <c:pt idx="9">
                  <c:v>1.0077483241571277</c:v>
                </c:pt>
                <c:pt idx="10">
                  <c:v>1.0584266032977947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40640"/>
        <c:axId val="310041032"/>
      </c:lineChart>
      <c:catAx>
        <c:axId val="31004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0041032"/>
        <c:crosses val="autoZero"/>
        <c:auto val="1"/>
        <c:lblAlgn val="ctr"/>
        <c:lblOffset val="100"/>
        <c:noMultiLvlLbl val="0"/>
      </c:catAx>
      <c:valAx>
        <c:axId val="31004103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31004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Efciencia</a:t>
            </a:r>
            <a:r>
              <a:rPr lang="es-MX" baseline="0"/>
              <a:t> Global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eficiencias!$H$3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eficiencias!$C$4:$N$4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eficiencias!$C$7:$N$7</c:f>
              <c:numCache>
                <c:formatCode>0%</c:formatCode>
                <c:ptCount val="12"/>
                <c:pt idx="0">
                  <c:v>0.56666972987091546</c:v>
                </c:pt>
                <c:pt idx="1">
                  <c:v>0.67145301179660766</c:v>
                </c:pt>
                <c:pt idx="2">
                  <c:v>0.62119573263818473</c:v>
                </c:pt>
                <c:pt idx="3">
                  <c:v>0.58124024315807621</c:v>
                </c:pt>
                <c:pt idx="4">
                  <c:v>0.67592178271373149</c:v>
                </c:pt>
                <c:pt idx="5">
                  <c:v>0.78705596622560137</c:v>
                </c:pt>
                <c:pt idx="6">
                  <c:v>0.62688746797148753</c:v>
                </c:pt>
                <c:pt idx="7">
                  <c:v>0.74420213002580182</c:v>
                </c:pt>
                <c:pt idx="8">
                  <c:v>0.679309691311903</c:v>
                </c:pt>
                <c:pt idx="9">
                  <c:v>0.82051446868538691</c:v>
                </c:pt>
                <c:pt idx="10">
                  <c:v>0.70653965800770557</c:v>
                </c:pt>
                <c:pt idx="11">
                  <c:v>0.40773099181894257</c:v>
                </c:pt>
              </c:numCache>
            </c:numRef>
          </c:val>
        </c:ser>
        <c:ser>
          <c:idx val="1"/>
          <c:order val="1"/>
          <c:tx>
            <c:strRef>
              <c:f>eficiencias!$H$8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eficiencias!$C$11:$N$11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0.71</c:v>
                </c:pt>
                <c:pt idx="5">
                  <c:v>0.76</c:v>
                </c:pt>
                <c:pt idx="6">
                  <c:v>0.7</c:v>
                </c:pt>
                <c:pt idx="7">
                  <c:v>0.77239451233031675</c:v>
                </c:pt>
                <c:pt idx="8">
                  <c:v>0.79064670647658208</c:v>
                </c:pt>
                <c:pt idx="9">
                  <c:v>0.76120668936891123</c:v>
                </c:pt>
                <c:pt idx="10">
                  <c:v>0.79956217441583244</c:v>
                </c:pt>
                <c:pt idx="11">
                  <c:v>0.57489086470672779</c:v>
                </c:pt>
              </c:numCache>
            </c:numRef>
          </c:val>
        </c:ser>
        <c:ser>
          <c:idx val="2"/>
          <c:order val="2"/>
          <c:tx>
            <c:strRef>
              <c:f>eficiencias!$H$12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eficiencias!$C$15:$N$15</c:f>
              <c:numCache>
                <c:formatCode>0%</c:formatCode>
                <c:ptCount val="12"/>
                <c:pt idx="0">
                  <c:v>0.78723179966179724</c:v>
                </c:pt>
                <c:pt idx="1">
                  <c:v>0.60179929675169452</c:v>
                </c:pt>
                <c:pt idx="2">
                  <c:v>0.66001217842432858</c:v>
                </c:pt>
                <c:pt idx="3">
                  <c:v>0.67252012662649796</c:v>
                </c:pt>
                <c:pt idx="4">
                  <c:v>0.66762398539589107</c:v>
                </c:pt>
                <c:pt idx="5">
                  <c:v>0.78522691523773369</c:v>
                </c:pt>
                <c:pt idx="6">
                  <c:v>0.75550922555987932</c:v>
                </c:pt>
                <c:pt idx="7">
                  <c:v>0.64599934223809719</c:v>
                </c:pt>
                <c:pt idx="8">
                  <c:v>0.65218448883216018</c:v>
                </c:pt>
                <c:pt idx="9">
                  <c:v>0.72378106908878381</c:v>
                </c:pt>
                <c:pt idx="10">
                  <c:v>0.77582941601280708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87168"/>
        <c:axId val="310041816"/>
      </c:barChart>
      <c:valAx>
        <c:axId val="31004181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67987168"/>
        <c:crosses val="autoZero"/>
        <c:crossBetween val="between"/>
      </c:valAx>
      <c:catAx>
        <c:axId val="46798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100418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'ORDENES '!$B$16</c:f>
              <c:strCache>
                <c:ptCount val="1"/>
                <c:pt idx="0">
                  <c:v>AGUA POTABLE</c:v>
                </c:pt>
              </c:strCache>
            </c:strRef>
          </c:tx>
          <c:cat>
            <c:strRef>
              <c:f>'ORDENES '!$D$15:$O$15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'!$D$16:$O$16</c:f>
              <c:numCache>
                <c:formatCode>General</c:formatCode>
                <c:ptCount val="12"/>
                <c:pt idx="0">
                  <c:v>111</c:v>
                </c:pt>
                <c:pt idx="1">
                  <c:v>269</c:v>
                </c:pt>
                <c:pt idx="2">
                  <c:v>323</c:v>
                </c:pt>
                <c:pt idx="3">
                  <c:v>117</c:v>
                </c:pt>
                <c:pt idx="4">
                  <c:v>142</c:v>
                </c:pt>
                <c:pt idx="5">
                  <c:v>117</c:v>
                </c:pt>
                <c:pt idx="6">
                  <c:v>134</c:v>
                </c:pt>
                <c:pt idx="7">
                  <c:v>138</c:v>
                </c:pt>
                <c:pt idx="8">
                  <c:v>108</c:v>
                </c:pt>
                <c:pt idx="9">
                  <c:v>135</c:v>
                </c:pt>
                <c:pt idx="10">
                  <c:v>131</c:v>
                </c:pt>
                <c:pt idx="11">
                  <c:v>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'ORDENES '!$B$17</c:f>
              <c:strCache>
                <c:ptCount val="1"/>
                <c:pt idx="0">
                  <c:v>ALCANTARILLADO Y SANEAMIENTO</c:v>
                </c:pt>
              </c:strCache>
            </c:strRef>
          </c:tx>
          <c:val>
            <c:numRef>
              <c:f>'ORDENES '!$D$17:$O$17</c:f>
              <c:numCache>
                <c:formatCode>General</c:formatCode>
                <c:ptCount val="12"/>
                <c:pt idx="0">
                  <c:v>22</c:v>
                </c:pt>
                <c:pt idx="1">
                  <c:v>11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32</c:v>
                </c:pt>
                <c:pt idx="6">
                  <c:v>25</c:v>
                </c:pt>
                <c:pt idx="7">
                  <c:v>44</c:v>
                </c:pt>
                <c:pt idx="8">
                  <c:v>37</c:v>
                </c:pt>
                <c:pt idx="9">
                  <c:v>36</c:v>
                </c:pt>
                <c:pt idx="10">
                  <c:v>28</c:v>
                </c:pt>
                <c:pt idx="11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'ORDENES '!$B$18</c:f>
              <c:strCache>
                <c:ptCount val="1"/>
                <c:pt idx="0">
                  <c:v>COMERCIAL</c:v>
                </c:pt>
              </c:strCache>
            </c:strRef>
          </c:tx>
          <c:val>
            <c:numRef>
              <c:f>'ORDENES '!$D$18:$O$18</c:f>
              <c:numCache>
                <c:formatCode>General</c:formatCode>
                <c:ptCount val="12"/>
                <c:pt idx="0">
                  <c:v>325</c:v>
                </c:pt>
                <c:pt idx="1">
                  <c:v>159</c:v>
                </c:pt>
                <c:pt idx="2">
                  <c:v>103</c:v>
                </c:pt>
                <c:pt idx="3">
                  <c:v>181</c:v>
                </c:pt>
                <c:pt idx="4">
                  <c:v>136</c:v>
                </c:pt>
                <c:pt idx="5">
                  <c:v>76</c:v>
                </c:pt>
                <c:pt idx="6">
                  <c:v>73</c:v>
                </c:pt>
                <c:pt idx="7">
                  <c:v>78</c:v>
                </c:pt>
                <c:pt idx="8">
                  <c:v>55</c:v>
                </c:pt>
                <c:pt idx="9">
                  <c:v>71</c:v>
                </c:pt>
                <c:pt idx="10">
                  <c:v>87</c:v>
                </c:pt>
                <c:pt idx="11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'ORDENES '!$B$19</c:f>
              <c:strCache>
                <c:ptCount val="1"/>
                <c:pt idx="0">
                  <c:v>COMUNICACIÓN SOCIAL</c:v>
                </c:pt>
              </c:strCache>
            </c:strRef>
          </c:tx>
          <c:val>
            <c:numRef>
              <c:f>'ORDENES '!$D$19:$O$19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9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'ORDENES '!$B$20</c:f>
              <c:strCache>
                <c:ptCount val="1"/>
                <c:pt idx="0">
                  <c:v>ATENCION AL USUARIO</c:v>
                </c:pt>
              </c:strCache>
            </c:strRef>
          </c:tx>
          <c:val>
            <c:numRef>
              <c:f>'ORDENES '!$D$21:$O$21</c:f>
              <c:numCache>
                <c:formatCode>General</c:formatCode>
                <c:ptCount val="12"/>
                <c:pt idx="0">
                  <c:v>461</c:v>
                </c:pt>
                <c:pt idx="1">
                  <c:v>444</c:v>
                </c:pt>
                <c:pt idx="2">
                  <c:v>437</c:v>
                </c:pt>
                <c:pt idx="3">
                  <c:v>321</c:v>
                </c:pt>
                <c:pt idx="4">
                  <c:v>302</c:v>
                </c:pt>
                <c:pt idx="5">
                  <c:v>232</c:v>
                </c:pt>
                <c:pt idx="6">
                  <c:v>304</c:v>
                </c:pt>
                <c:pt idx="7">
                  <c:v>359</c:v>
                </c:pt>
                <c:pt idx="8">
                  <c:v>315</c:v>
                </c:pt>
                <c:pt idx="9">
                  <c:v>486</c:v>
                </c:pt>
                <c:pt idx="10">
                  <c:v>404</c:v>
                </c:pt>
                <c:pt idx="11">
                  <c:v>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88344"/>
        <c:axId val="467988736"/>
      </c:lineChart>
      <c:catAx>
        <c:axId val="467988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7988736"/>
        <c:crosses val="autoZero"/>
        <c:auto val="1"/>
        <c:lblAlgn val="ctr"/>
        <c:lblOffset val="100"/>
        <c:noMultiLvlLbl val="0"/>
      </c:catAx>
      <c:valAx>
        <c:axId val="46798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Numero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6798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'ORDENES '!$G$3</c:f>
              <c:strCache>
                <c:ptCount val="1"/>
                <c:pt idx="0">
                  <c:v>ORDENES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'ORDENES 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'!$D$11:$O$11</c:f>
              <c:numCache>
                <c:formatCode>General</c:formatCode>
                <c:ptCount val="12"/>
                <c:pt idx="0">
                  <c:v>329</c:v>
                </c:pt>
                <c:pt idx="1">
                  <c:v>229</c:v>
                </c:pt>
                <c:pt idx="2">
                  <c:v>281</c:v>
                </c:pt>
                <c:pt idx="3">
                  <c:v>204</c:v>
                </c:pt>
                <c:pt idx="4">
                  <c:v>311</c:v>
                </c:pt>
                <c:pt idx="5">
                  <c:v>327</c:v>
                </c:pt>
                <c:pt idx="6">
                  <c:v>248</c:v>
                </c:pt>
                <c:pt idx="7">
                  <c:v>290</c:v>
                </c:pt>
                <c:pt idx="8">
                  <c:v>240</c:v>
                </c:pt>
                <c:pt idx="9">
                  <c:v>269</c:v>
                </c:pt>
                <c:pt idx="10">
                  <c:v>524</c:v>
                </c:pt>
                <c:pt idx="11">
                  <c:v>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866584"/>
        <c:axId val="256866976"/>
      </c:barChart>
      <c:catAx>
        <c:axId val="256866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6866976"/>
        <c:crosses val="autoZero"/>
        <c:auto val="1"/>
        <c:lblAlgn val="ctr"/>
        <c:lblOffset val="100"/>
        <c:noMultiLvlLbl val="0"/>
      </c:catAx>
      <c:valAx>
        <c:axId val="25686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866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M3 ENTREGADOS EN EL DOMICILIO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'm3 entregados'!$B$3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'm3 entregados'!$C$3:$N$3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'm3 entregados'!$C$5:$N$5</c:f>
              <c:numCache>
                <c:formatCode>0.00</c:formatCode>
                <c:ptCount val="12"/>
                <c:pt idx="0">
                  <c:v>1713.741935483871</c:v>
                </c:pt>
                <c:pt idx="1">
                  <c:v>1910</c:v>
                </c:pt>
                <c:pt idx="2">
                  <c:v>1648.5806451612902</c:v>
                </c:pt>
                <c:pt idx="3">
                  <c:v>1750.0333333333333</c:v>
                </c:pt>
                <c:pt idx="4">
                  <c:v>1734.1290322580646</c:v>
                </c:pt>
                <c:pt idx="5">
                  <c:v>1924.8</c:v>
                </c:pt>
                <c:pt idx="6">
                  <c:v>1873.2903225806451</c:v>
                </c:pt>
                <c:pt idx="7">
                  <c:v>1691.3870967741937</c:v>
                </c:pt>
                <c:pt idx="8">
                  <c:v>1680.3666666666666</c:v>
                </c:pt>
                <c:pt idx="9">
                  <c:v>1569.2258064516129</c:v>
                </c:pt>
                <c:pt idx="10">
                  <c:v>1380.0666666666666</c:v>
                </c:pt>
                <c:pt idx="11">
                  <c:v>1476.2258064516129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'm3 entregados'!$B$7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'm3 entregados'!$C$9:$N$9</c:f>
              <c:numCache>
                <c:formatCode>0.00</c:formatCode>
                <c:ptCount val="12"/>
                <c:pt idx="0">
                  <c:v>1608.741935483871</c:v>
                </c:pt>
                <c:pt idx="1">
                  <c:v>1919.3214285714287</c:v>
                </c:pt>
                <c:pt idx="2">
                  <c:v>1883.8387096774193</c:v>
                </c:pt>
                <c:pt idx="3">
                  <c:v>1879.1</c:v>
                </c:pt>
                <c:pt idx="4">
                  <c:v>2012.1290322580646</c:v>
                </c:pt>
                <c:pt idx="5">
                  <c:v>1871.7</c:v>
                </c:pt>
                <c:pt idx="6">
                  <c:v>1804.6774193548388</c:v>
                </c:pt>
                <c:pt idx="7">
                  <c:v>1995.7096774193549</c:v>
                </c:pt>
                <c:pt idx="8">
                  <c:v>1804.6</c:v>
                </c:pt>
                <c:pt idx="9">
                  <c:v>1684.5483870967741</c:v>
                </c:pt>
                <c:pt idx="10">
                  <c:v>1740.1</c:v>
                </c:pt>
                <c:pt idx="11">
                  <c:v>1619.6451612903227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'm3 entregados'!$B$11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'm3 entregados'!$C$13:$N$13</c:f>
              <c:numCache>
                <c:formatCode>0.00</c:formatCode>
                <c:ptCount val="12"/>
                <c:pt idx="0">
                  <c:v>2023.0322580645161</c:v>
                </c:pt>
                <c:pt idx="1">
                  <c:v>1760.5483870967741</c:v>
                </c:pt>
                <c:pt idx="2">
                  <c:v>2032.741935483871</c:v>
                </c:pt>
                <c:pt idx="3">
                  <c:v>2037.4516129032259</c:v>
                </c:pt>
                <c:pt idx="4">
                  <c:v>2234.483870967742</c:v>
                </c:pt>
                <c:pt idx="5">
                  <c:v>2433.0645161290322</c:v>
                </c:pt>
                <c:pt idx="6">
                  <c:v>1948.5483870967741</c:v>
                </c:pt>
                <c:pt idx="7">
                  <c:v>1877.8709677419354</c:v>
                </c:pt>
                <c:pt idx="8">
                  <c:v>1822.4516129032259</c:v>
                </c:pt>
                <c:pt idx="9">
                  <c:v>1990.7096774193549</c:v>
                </c:pt>
                <c:pt idx="10">
                  <c:v>1944.4193548387098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61128"/>
        <c:axId val="256088384"/>
      </c:lineChart>
      <c:catAx>
        <c:axId val="251261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6088384"/>
        <c:crosses val="autoZero"/>
        <c:auto val="1"/>
        <c:lblAlgn val="ctr"/>
        <c:lblOffset val="100"/>
        <c:noMultiLvlLbl val="0"/>
      </c:catAx>
      <c:valAx>
        <c:axId val="2560883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51261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'ORDENES '!$G$24</c:f>
              <c:strCache>
                <c:ptCount val="1"/>
                <c:pt idx="0">
                  <c:v>ORDENES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'ORDENES '!$D$25:$O$25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'!$D$32:$O$32</c:f>
              <c:numCache>
                <c:formatCode>General</c:formatCode>
                <c:ptCount val="12"/>
                <c:pt idx="0">
                  <c:v>305</c:v>
                </c:pt>
                <c:pt idx="1">
                  <c:v>282</c:v>
                </c:pt>
                <c:pt idx="2">
                  <c:v>303</c:v>
                </c:pt>
                <c:pt idx="3">
                  <c:v>308</c:v>
                </c:pt>
                <c:pt idx="4">
                  <c:v>329</c:v>
                </c:pt>
                <c:pt idx="5">
                  <c:v>242</c:v>
                </c:pt>
                <c:pt idx="6">
                  <c:v>286</c:v>
                </c:pt>
                <c:pt idx="7">
                  <c:v>304</c:v>
                </c:pt>
                <c:pt idx="8">
                  <c:v>274</c:v>
                </c:pt>
                <c:pt idx="9">
                  <c:v>247</c:v>
                </c:pt>
                <c:pt idx="10">
                  <c:v>123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867760"/>
        <c:axId val="302273848"/>
      </c:barChart>
      <c:catAx>
        <c:axId val="25686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273848"/>
        <c:crosses val="autoZero"/>
        <c:auto val="1"/>
        <c:lblAlgn val="ctr"/>
        <c:lblOffset val="100"/>
        <c:noMultiLvlLbl val="0"/>
      </c:catAx>
      <c:valAx>
        <c:axId val="302273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867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'ORDENES '!$G$3</c:f>
              <c:strCache>
                <c:ptCount val="1"/>
                <c:pt idx="0">
                  <c:v>ORDENES 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'ORDENES 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'!$D$11:$O$11</c:f>
              <c:numCache>
                <c:formatCode>General</c:formatCode>
                <c:ptCount val="12"/>
                <c:pt idx="0">
                  <c:v>329</c:v>
                </c:pt>
                <c:pt idx="1">
                  <c:v>229</c:v>
                </c:pt>
                <c:pt idx="2">
                  <c:v>281</c:v>
                </c:pt>
                <c:pt idx="3">
                  <c:v>204</c:v>
                </c:pt>
                <c:pt idx="4">
                  <c:v>311</c:v>
                </c:pt>
                <c:pt idx="5">
                  <c:v>327</c:v>
                </c:pt>
                <c:pt idx="6">
                  <c:v>248</c:v>
                </c:pt>
                <c:pt idx="7">
                  <c:v>290</c:v>
                </c:pt>
                <c:pt idx="8">
                  <c:v>240</c:v>
                </c:pt>
                <c:pt idx="9">
                  <c:v>269</c:v>
                </c:pt>
                <c:pt idx="10">
                  <c:v>524</c:v>
                </c:pt>
                <c:pt idx="11">
                  <c:v>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'ORDENES '!$G$14</c:f>
              <c:strCache>
                <c:ptCount val="1"/>
                <c:pt idx="0">
                  <c:v>ORDENES 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'ORDENES 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'!$D$21:$O$21</c:f>
              <c:numCache>
                <c:formatCode>General</c:formatCode>
                <c:ptCount val="12"/>
                <c:pt idx="0">
                  <c:v>461</c:v>
                </c:pt>
                <c:pt idx="1">
                  <c:v>444</c:v>
                </c:pt>
                <c:pt idx="2">
                  <c:v>437</c:v>
                </c:pt>
                <c:pt idx="3">
                  <c:v>321</c:v>
                </c:pt>
                <c:pt idx="4">
                  <c:v>302</c:v>
                </c:pt>
                <c:pt idx="5">
                  <c:v>232</c:v>
                </c:pt>
                <c:pt idx="6">
                  <c:v>304</c:v>
                </c:pt>
                <c:pt idx="7">
                  <c:v>359</c:v>
                </c:pt>
                <c:pt idx="8">
                  <c:v>315</c:v>
                </c:pt>
                <c:pt idx="9">
                  <c:v>486</c:v>
                </c:pt>
                <c:pt idx="10">
                  <c:v>404</c:v>
                </c:pt>
                <c:pt idx="11">
                  <c:v>183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'ORDENES '!$G$24</c:f>
              <c:strCache>
                <c:ptCount val="1"/>
                <c:pt idx="0">
                  <c:v>ORDENES 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'ORDENES 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'ORDENES '!$D$32:$O$32</c:f>
              <c:numCache>
                <c:formatCode>General</c:formatCode>
                <c:ptCount val="12"/>
                <c:pt idx="0">
                  <c:v>305</c:v>
                </c:pt>
                <c:pt idx="1">
                  <c:v>282</c:v>
                </c:pt>
                <c:pt idx="2">
                  <c:v>303</c:v>
                </c:pt>
                <c:pt idx="3">
                  <c:v>308</c:v>
                </c:pt>
                <c:pt idx="4">
                  <c:v>329</c:v>
                </c:pt>
                <c:pt idx="5">
                  <c:v>242</c:v>
                </c:pt>
                <c:pt idx="6">
                  <c:v>286</c:v>
                </c:pt>
                <c:pt idx="7">
                  <c:v>304</c:v>
                </c:pt>
                <c:pt idx="8">
                  <c:v>274</c:v>
                </c:pt>
                <c:pt idx="9">
                  <c:v>247</c:v>
                </c:pt>
                <c:pt idx="10">
                  <c:v>123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74632"/>
        <c:axId val="302275024"/>
      </c:lineChart>
      <c:catAx>
        <c:axId val="302274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275024"/>
        <c:crosses val="autoZero"/>
        <c:auto val="1"/>
        <c:lblAlgn val="ctr"/>
        <c:lblOffset val="100"/>
        <c:noMultiLvlLbl val="0"/>
      </c:catAx>
      <c:valAx>
        <c:axId val="30227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2274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PROMEDIO DE DISTRIBUCIÓN DE CONSUMO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  CONS'!$G$2:$I$2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  CONS'!$B$5:$B$9</c:f>
              <c:strCache>
                <c:ptCount val="5"/>
                <c:pt idx="0">
                  <c:v>DOMESTICA</c:v>
                </c:pt>
                <c:pt idx="1">
                  <c:v>COMERCIAL</c:v>
                </c:pt>
                <c:pt idx="2">
                  <c:v>INDUSTRIAL</c:v>
                </c:pt>
                <c:pt idx="3">
                  <c:v>MIXTA</c:v>
                </c:pt>
                <c:pt idx="4">
                  <c:v>EDIFICIOS PUBLICOS</c:v>
                </c:pt>
              </c:strCache>
            </c:strRef>
          </c:cat>
          <c:val>
            <c:numRef>
              <c:f>'DISTRI  CONS'!$P$5:$P$9</c:f>
              <c:numCache>
                <c:formatCode>0%</c:formatCode>
                <c:ptCount val="5"/>
                <c:pt idx="0">
                  <c:v>0.86198616431307518</c:v>
                </c:pt>
                <c:pt idx="1">
                  <c:v>3.5808892192175028E-2</c:v>
                </c:pt>
                <c:pt idx="2">
                  <c:v>1.2406380424218169E-2</c:v>
                </c:pt>
                <c:pt idx="3">
                  <c:v>6.365178282164162E-2</c:v>
                </c:pt>
                <c:pt idx="4">
                  <c:v>2.6184895088902867E-2</c:v>
                </c:pt>
              </c:numCache>
            </c:numRef>
          </c:val>
        </c:ser>
        <c:ser>
          <c:idx val="1"/>
          <c:order val="1"/>
          <c:tx>
            <c:strRef>
              <c:f>'DISTRI  CONS'!$H$11:$K$11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'DISTRI  CONS'!$P$13:$P$17</c:f>
              <c:numCache>
                <c:formatCode>0%</c:formatCode>
                <c:ptCount val="5"/>
                <c:pt idx="0">
                  <c:v>0.87432035764769023</c:v>
                </c:pt>
                <c:pt idx="1">
                  <c:v>3.2315262344111813E-2</c:v>
                </c:pt>
                <c:pt idx="2">
                  <c:v>1.9599816571691565E-2</c:v>
                </c:pt>
                <c:pt idx="3">
                  <c:v>5.8578714761095378E-2</c:v>
                </c:pt>
                <c:pt idx="4">
                  <c:v>1.3586511975816356E-2</c:v>
                </c:pt>
              </c:numCache>
            </c:numRef>
          </c:val>
        </c:ser>
        <c:ser>
          <c:idx val="2"/>
          <c:order val="2"/>
          <c:tx>
            <c:strRef>
              <c:f>'DISTRI  CONS'!$I$20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'DISTRI  CONS'!$P$21:$P$25</c:f>
              <c:numCache>
                <c:formatCode>0%</c:formatCode>
                <c:ptCount val="5"/>
                <c:pt idx="0">
                  <c:v>0.86726427211138024</c:v>
                </c:pt>
                <c:pt idx="1">
                  <c:v>4.651232913246138E-2</c:v>
                </c:pt>
                <c:pt idx="2">
                  <c:v>1.8372057226831041E-2</c:v>
                </c:pt>
                <c:pt idx="3">
                  <c:v>7.4454095108009558E-2</c:v>
                </c:pt>
                <c:pt idx="4">
                  <c:v>2.3851489701569265E-2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9458112"/>
        <c:axId val="309458504"/>
      </c:barChart>
      <c:catAx>
        <c:axId val="309458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9458504"/>
        <c:crosses val="autoZero"/>
        <c:auto val="1"/>
        <c:lblAlgn val="ctr"/>
        <c:lblOffset val="100"/>
        <c:noMultiLvlLbl val="0"/>
      </c:catAx>
      <c:valAx>
        <c:axId val="3094585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9458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CUENTAS!$D$4</c:f>
              <c:strCache>
                <c:ptCount val="1"/>
                <c:pt idx="0">
                  <c:v>CUENTAS</c:v>
                </c:pt>
              </c:strCache>
            </c:strRef>
          </c:tx>
          <c:cat>
            <c:strRef>
              <c:f>CUENTAS!$C$5:$C$36</c:f>
              <c:strCache>
                <c:ptCount val="32"/>
                <c:pt idx="0">
                  <c:v>Cabecera</c:v>
                </c:pt>
                <c:pt idx="1">
                  <c:v>Cabecera</c:v>
                </c:pt>
                <c:pt idx="2">
                  <c:v>Cabecera</c:v>
                </c:pt>
                <c:pt idx="3">
                  <c:v>Cabecera</c:v>
                </c:pt>
                <c:pt idx="4">
                  <c:v>Cabecera</c:v>
                </c:pt>
                <c:pt idx="5">
                  <c:v>Cabecera</c:v>
                </c:pt>
                <c:pt idx="6">
                  <c:v>Zacatequillas</c:v>
                </c:pt>
                <c:pt idx="7">
                  <c:v>La biznaga</c:v>
                </c:pt>
                <c:pt idx="8">
                  <c:v>Nainare</c:v>
                </c:pt>
                <c:pt idx="9">
                  <c:v>Tanque nuevo</c:v>
                </c:pt>
                <c:pt idx="10">
                  <c:v>Palo Verde</c:v>
                </c:pt>
                <c:pt idx="11">
                  <c:v>Santa anita</c:v>
                </c:pt>
                <c:pt idx="12">
                  <c:v>Ejido desmonte y desmonte</c:v>
                </c:pt>
                <c:pt idx="13">
                  <c:v>Ejido Barreno</c:v>
                </c:pt>
                <c:pt idx="14">
                  <c:v>Las Jarillas</c:v>
                </c:pt>
                <c:pt idx="15">
                  <c:v>Puerta de cadenas</c:v>
                </c:pt>
                <c:pt idx="16">
                  <c:v>La presita</c:v>
                </c:pt>
                <c:pt idx="17">
                  <c:v>El carrizal</c:v>
                </c:pt>
                <c:pt idx="18">
                  <c:v>Cantarranas</c:v>
                </c:pt>
                <c:pt idx="19">
                  <c:v>Tepozan y salitrillo</c:v>
                </c:pt>
                <c:pt idx="20">
                  <c:v>Cerrito y suspiro</c:v>
                </c:pt>
                <c:pt idx="21">
                  <c:v>Rosa de castilla</c:v>
                </c:pt>
                <c:pt idx="22">
                  <c:v>Providencia</c:v>
                </c:pt>
                <c:pt idx="23">
                  <c:v>San Juan</c:v>
                </c:pt>
                <c:pt idx="24">
                  <c:v>San Juan</c:v>
                </c:pt>
                <c:pt idx="25">
                  <c:v>El salitre</c:v>
                </c:pt>
                <c:pt idx="26">
                  <c:v>San Franco</c:v>
                </c:pt>
                <c:pt idx="27">
                  <c:v>Presidencia</c:v>
                </c:pt>
                <c:pt idx="28">
                  <c:v>Ejido Ojuelos</c:v>
                </c:pt>
                <c:pt idx="29">
                  <c:v>San antonio</c:v>
                </c:pt>
                <c:pt idx="30">
                  <c:v>Ejido Santa Anita</c:v>
                </c:pt>
                <c:pt idx="31">
                  <c:v>Parritas</c:v>
                </c:pt>
              </c:strCache>
            </c:strRef>
          </c:cat>
          <c:val>
            <c:numRef>
              <c:f>CUENTAS!$D$5:$D$36</c:f>
              <c:numCache>
                <c:formatCode>General</c:formatCode>
                <c:ptCount val="32"/>
                <c:pt idx="0">
                  <c:v>354</c:v>
                </c:pt>
                <c:pt idx="1">
                  <c:v>464</c:v>
                </c:pt>
                <c:pt idx="2">
                  <c:v>611</c:v>
                </c:pt>
                <c:pt idx="3">
                  <c:v>441</c:v>
                </c:pt>
                <c:pt idx="4">
                  <c:v>515</c:v>
                </c:pt>
                <c:pt idx="5">
                  <c:v>577</c:v>
                </c:pt>
                <c:pt idx="6">
                  <c:v>97</c:v>
                </c:pt>
                <c:pt idx="7">
                  <c:v>4</c:v>
                </c:pt>
                <c:pt idx="8">
                  <c:v>36</c:v>
                </c:pt>
                <c:pt idx="9">
                  <c:v>35</c:v>
                </c:pt>
                <c:pt idx="10">
                  <c:v>42</c:v>
                </c:pt>
                <c:pt idx="11">
                  <c:v>46</c:v>
                </c:pt>
                <c:pt idx="12">
                  <c:v>118</c:v>
                </c:pt>
                <c:pt idx="13">
                  <c:v>94</c:v>
                </c:pt>
                <c:pt idx="14">
                  <c:v>34</c:v>
                </c:pt>
                <c:pt idx="15">
                  <c:v>50</c:v>
                </c:pt>
                <c:pt idx="16">
                  <c:v>429</c:v>
                </c:pt>
                <c:pt idx="17">
                  <c:v>5</c:v>
                </c:pt>
                <c:pt idx="18">
                  <c:v>140</c:v>
                </c:pt>
                <c:pt idx="19">
                  <c:v>14</c:v>
                </c:pt>
                <c:pt idx="20">
                  <c:v>33</c:v>
                </c:pt>
                <c:pt idx="21">
                  <c:v>86</c:v>
                </c:pt>
                <c:pt idx="22">
                  <c:v>150</c:v>
                </c:pt>
                <c:pt idx="23">
                  <c:v>357</c:v>
                </c:pt>
                <c:pt idx="24">
                  <c:v>359</c:v>
                </c:pt>
                <c:pt idx="25">
                  <c:v>34</c:v>
                </c:pt>
                <c:pt idx="26">
                  <c:v>133</c:v>
                </c:pt>
                <c:pt idx="27">
                  <c:v>44</c:v>
                </c:pt>
                <c:pt idx="28">
                  <c:v>39</c:v>
                </c:pt>
                <c:pt idx="29">
                  <c:v>153</c:v>
                </c:pt>
                <c:pt idx="30">
                  <c:v>35</c:v>
                </c:pt>
                <c:pt idx="31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59680"/>
        <c:axId val="306433648"/>
      </c:lineChart>
      <c:catAx>
        <c:axId val="3094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6433648"/>
        <c:crosses val="autoZero"/>
        <c:auto val="1"/>
        <c:lblAlgn val="ctr"/>
        <c:lblOffset val="100"/>
        <c:noMultiLvlLbl val="0"/>
      </c:catAx>
      <c:valAx>
        <c:axId val="30643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945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</a:t>
            </a:r>
            <a:r>
              <a:rPr lang="es-MX" baseline="0"/>
              <a:t> Extraido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 - FACT'!$B$9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'EXTRA - FACT'!$C$9:$N$9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'EXTRA - FACT'!$C$10:$N$10</c:f>
              <c:numCache>
                <c:formatCode>General</c:formatCode>
                <c:ptCount val="12"/>
                <c:pt idx="0">
                  <c:v>79672</c:v>
                </c:pt>
                <c:pt idx="1">
                  <c:v>75395</c:v>
                </c:pt>
                <c:pt idx="2">
                  <c:v>80918</c:v>
                </c:pt>
                <c:pt idx="3">
                  <c:v>84832</c:v>
                </c:pt>
                <c:pt idx="4">
                  <c:v>91391</c:v>
                </c:pt>
                <c:pt idx="5">
                  <c:v>90097</c:v>
                </c:pt>
                <c:pt idx="6">
                  <c:v>81551</c:v>
                </c:pt>
                <c:pt idx="7">
                  <c:v>83942</c:v>
                </c:pt>
                <c:pt idx="8">
                  <c:v>70392</c:v>
                </c:pt>
                <c:pt idx="9">
                  <c:v>73531</c:v>
                </c:pt>
                <c:pt idx="10">
                  <c:v>76658</c:v>
                </c:pt>
                <c:pt idx="11">
                  <c:v>78885</c:v>
                </c:pt>
              </c:numCache>
            </c:numRef>
          </c:val>
        </c:ser>
        <c:ser>
          <c:idx val="1"/>
          <c:order val="1"/>
          <c:tx>
            <c:strRef>
              <c:f>'EXTRA - FACT'!$B$18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'EXTRA - FACT'!$C$19:$N$19</c:f>
              <c:numCache>
                <c:formatCode>General</c:formatCode>
                <c:ptCount val="12"/>
                <c:pt idx="0">
                  <c:v>77743</c:v>
                </c:pt>
                <c:pt idx="1">
                  <c:v>70100</c:v>
                </c:pt>
                <c:pt idx="2">
                  <c:v>90070</c:v>
                </c:pt>
                <c:pt idx="3">
                  <c:v>90289</c:v>
                </c:pt>
                <c:pt idx="4">
                  <c:v>86844</c:v>
                </c:pt>
                <c:pt idx="5">
                  <c:v>71154</c:v>
                </c:pt>
                <c:pt idx="6">
                  <c:v>77329</c:v>
                </c:pt>
                <c:pt idx="7">
                  <c:v>78252</c:v>
                </c:pt>
                <c:pt idx="8">
                  <c:v>65753</c:v>
                </c:pt>
                <c:pt idx="9">
                  <c:v>70738</c:v>
                </c:pt>
                <c:pt idx="10">
                  <c:v>69576</c:v>
                </c:pt>
                <c:pt idx="11">
                  <c:v>78885</c:v>
                </c:pt>
              </c:numCache>
            </c:numRef>
          </c:val>
        </c:ser>
        <c:ser>
          <c:idx val="2"/>
          <c:order val="2"/>
          <c:tx>
            <c:strRef>
              <c:f>'EXTRA - FACT'!$B$27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'EXTRA - FACT'!$C$28:$N$28</c:f>
              <c:numCache>
                <c:formatCode>General</c:formatCode>
                <c:ptCount val="12"/>
                <c:pt idx="0">
                  <c:v>76628</c:v>
                </c:pt>
                <c:pt idx="1">
                  <c:v>73620</c:v>
                </c:pt>
                <c:pt idx="2">
                  <c:v>93473</c:v>
                </c:pt>
                <c:pt idx="3">
                  <c:v>94732</c:v>
                </c:pt>
                <c:pt idx="4">
                  <c:v>104655</c:v>
                </c:pt>
                <c:pt idx="5">
                  <c:v>89074</c:v>
                </c:pt>
                <c:pt idx="6">
                  <c:v>87494</c:v>
                </c:pt>
                <c:pt idx="7">
                  <c:v>88801</c:v>
                </c:pt>
                <c:pt idx="8">
                  <c:v>87297</c:v>
                </c:pt>
                <c:pt idx="9">
                  <c:v>85924</c:v>
                </c:pt>
                <c:pt idx="10">
                  <c:v>82233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89168"/>
        <c:axId val="256089560"/>
      </c:barChart>
      <c:catAx>
        <c:axId val="25608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6089560"/>
        <c:crosses val="autoZero"/>
        <c:auto val="1"/>
        <c:lblAlgn val="ctr"/>
        <c:lblOffset val="100"/>
        <c:noMultiLvlLbl val="0"/>
      </c:catAx>
      <c:valAx>
        <c:axId val="256089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608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</a:t>
            </a:r>
            <a:r>
              <a:rPr lang="es-MX" baseline="0"/>
              <a:t> Facturado</a:t>
            </a:r>
            <a:endParaRPr lang="es-MX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'EXTRA - FACT'!$B$9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'EXTRA - FACT'!$C$9:$N$9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'EXTRA - FACT'!$C$11:$N$11</c:f>
              <c:numCache>
                <c:formatCode>General</c:formatCode>
                <c:ptCount val="12"/>
                <c:pt idx="0">
                  <c:v>53126</c:v>
                </c:pt>
                <c:pt idx="1">
                  <c:v>53480</c:v>
                </c:pt>
                <c:pt idx="2">
                  <c:v>51106</c:v>
                </c:pt>
                <c:pt idx="3">
                  <c:v>52501</c:v>
                </c:pt>
                <c:pt idx="4">
                  <c:v>53758</c:v>
                </c:pt>
                <c:pt idx="5">
                  <c:v>57744</c:v>
                </c:pt>
                <c:pt idx="6">
                  <c:v>58072</c:v>
                </c:pt>
                <c:pt idx="7">
                  <c:v>52433</c:v>
                </c:pt>
                <c:pt idx="8">
                  <c:v>50411</c:v>
                </c:pt>
                <c:pt idx="9">
                  <c:v>48646</c:v>
                </c:pt>
                <c:pt idx="10">
                  <c:v>41402</c:v>
                </c:pt>
                <c:pt idx="11">
                  <c:v>45763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'EXTRA - FACT'!$B$18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'EXTRA - FACT'!$C$20:$N$20</c:f>
              <c:numCache>
                <c:formatCode>General</c:formatCode>
                <c:ptCount val="12"/>
                <c:pt idx="0">
                  <c:v>49871</c:v>
                </c:pt>
                <c:pt idx="1">
                  <c:v>53741</c:v>
                </c:pt>
                <c:pt idx="2">
                  <c:v>58399</c:v>
                </c:pt>
                <c:pt idx="3">
                  <c:v>56373</c:v>
                </c:pt>
                <c:pt idx="4">
                  <c:v>62376</c:v>
                </c:pt>
                <c:pt idx="5">
                  <c:v>56151</c:v>
                </c:pt>
                <c:pt idx="6">
                  <c:v>55945</c:v>
                </c:pt>
                <c:pt idx="7">
                  <c:v>61867</c:v>
                </c:pt>
                <c:pt idx="8">
                  <c:v>54138</c:v>
                </c:pt>
                <c:pt idx="9">
                  <c:v>52221</c:v>
                </c:pt>
                <c:pt idx="10">
                  <c:v>52203</c:v>
                </c:pt>
                <c:pt idx="11">
                  <c:v>50209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'EXTRA - FACT'!$B$27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'EXTRA - FACT'!$C$29:$N$29</c:f>
              <c:numCache>
                <c:formatCode>General</c:formatCode>
                <c:ptCount val="12"/>
                <c:pt idx="0">
                  <c:v>62714</c:v>
                </c:pt>
                <c:pt idx="1">
                  <c:v>54577</c:v>
                </c:pt>
                <c:pt idx="2">
                  <c:v>63015</c:v>
                </c:pt>
                <c:pt idx="3">
                  <c:v>63161</c:v>
                </c:pt>
                <c:pt idx="4">
                  <c:v>69269</c:v>
                </c:pt>
                <c:pt idx="5">
                  <c:v>75425</c:v>
                </c:pt>
                <c:pt idx="6">
                  <c:v>60405</c:v>
                </c:pt>
                <c:pt idx="7">
                  <c:v>58214</c:v>
                </c:pt>
                <c:pt idx="8">
                  <c:v>56496</c:v>
                </c:pt>
                <c:pt idx="9">
                  <c:v>61712</c:v>
                </c:pt>
                <c:pt idx="10">
                  <c:v>60277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67528"/>
        <c:axId val="466667920"/>
      </c:lineChart>
      <c:catAx>
        <c:axId val="466667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6667920"/>
        <c:crosses val="autoZero"/>
        <c:auto val="1"/>
        <c:lblAlgn val="ctr"/>
        <c:lblOffset val="100"/>
        <c:noMultiLvlLbl val="0"/>
      </c:catAx>
      <c:valAx>
        <c:axId val="46666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6667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</a:t>
            </a:r>
            <a:r>
              <a:rPr lang="es-MX" baseline="0"/>
              <a:t> no Facturado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 - FACT'!$B$9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'EXTRA - FACT'!$C$9:$N$9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'EXTRA - FACT'!$C$12:$N$12</c:f>
              <c:numCache>
                <c:formatCode>General</c:formatCode>
                <c:ptCount val="12"/>
                <c:pt idx="0">
                  <c:v>26546</c:v>
                </c:pt>
                <c:pt idx="1">
                  <c:v>21915</c:v>
                </c:pt>
                <c:pt idx="2">
                  <c:v>29812</c:v>
                </c:pt>
                <c:pt idx="3">
                  <c:v>32331</c:v>
                </c:pt>
                <c:pt idx="4">
                  <c:v>37633</c:v>
                </c:pt>
                <c:pt idx="5">
                  <c:v>32353</c:v>
                </c:pt>
                <c:pt idx="6">
                  <c:v>23479</c:v>
                </c:pt>
                <c:pt idx="7">
                  <c:v>31509</c:v>
                </c:pt>
                <c:pt idx="8">
                  <c:v>19981</c:v>
                </c:pt>
                <c:pt idx="9">
                  <c:v>24885</c:v>
                </c:pt>
                <c:pt idx="10">
                  <c:v>39713</c:v>
                </c:pt>
                <c:pt idx="11">
                  <c:v>33122</c:v>
                </c:pt>
              </c:numCache>
            </c:numRef>
          </c:val>
        </c:ser>
        <c:ser>
          <c:idx val="2"/>
          <c:order val="2"/>
          <c:tx>
            <c:strRef>
              <c:f>'EXTRA - FACT'!$B$27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'EXTRA - FACT'!$C$30:$N$30</c:f>
              <c:numCache>
                <c:formatCode>General</c:formatCode>
                <c:ptCount val="12"/>
                <c:pt idx="0">
                  <c:v>13914</c:v>
                </c:pt>
                <c:pt idx="1">
                  <c:v>19043</c:v>
                </c:pt>
                <c:pt idx="2">
                  <c:v>30458</c:v>
                </c:pt>
                <c:pt idx="3">
                  <c:v>31571</c:v>
                </c:pt>
                <c:pt idx="4">
                  <c:v>35386</c:v>
                </c:pt>
                <c:pt idx="5">
                  <c:v>13649</c:v>
                </c:pt>
                <c:pt idx="6">
                  <c:v>27089</c:v>
                </c:pt>
                <c:pt idx="7">
                  <c:v>30587</c:v>
                </c:pt>
                <c:pt idx="8">
                  <c:v>30801</c:v>
                </c:pt>
                <c:pt idx="9">
                  <c:v>24212</c:v>
                </c:pt>
                <c:pt idx="10">
                  <c:v>21956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68704"/>
        <c:axId val="466669096"/>
      </c:barChart>
      <c:lineChart>
        <c:grouping val="standard"/>
        <c:varyColors val="0"/>
        <c:ser>
          <c:idx val="1"/>
          <c:order val="1"/>
          <c:tx>
            <c:strRef>
              <c:f>'EXTRA - FACT'!$B$18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'EXTRA - FACT'!$C$21:$N$21</c:f>
              <c:numCache>
                <c:formatCode>General</c:formatCode>
                <c:ptCount val="12"/>
                <c:pt idx="0">
                  <c:v>27872</c:v>
                </c:pt>
                <c:pt idx="1">
                  <c:v>16359</c:v>
                </c:pt>
                <c:pt idx="2">
                  <c:v>31671</c:v>
                </c:pt>
                <c:pt idx="3">
                  <c:v>33916</c:v>
                </c:pt>
                <c:pt idx="4">
                  <c:v>24468</c:v>
                </c:pt>
                <c:pt idx="5">
                  <c:v>15003</c:v>
                </c:pt>
                <c:pt idx="6">
                  <c:v>21384</c:v>
                </c:pt>
                <c:pt idx="7">
                  <c:v>16385</c:v>
                </c:pt>
                <c:pt idx="8">
                  <c:v>11615</c:v>
                </c:pt>
                <c:pt idx="9">
                  <c:v>18517</c:v>
                </c:pt>
                <c:pt idx="10">
                  <c:v>17373</c:v>
                </c:pt>
                <c:pt idx="11">
                  <c:v>28676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68704"/>
        <c:axId val="466669096"/>
      </c:lineChart>
      <c:catAx>
        <c:axId val="4666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6669096"/>
        <c:crosses val="autoZero"/>
        <c:auto val="1"/>
        <c:lblAlgn val="ctr"/>
        <c:lblOffset val="100"/>
        <c:noMultiLvlLbl val="0"/>
      </c:catAx>
      <c:valAx>
        <c:axId val="466669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666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'EXTRACC. POZOS'!$J$4:$L$4</c:f>
              <c:strCache>
                <c:ptCount val="3"/>
                <c:pt idx="0">
                  <c:v>2017</c:v>
                </c:pt>
              </c:strCache>
            </c:strRef>
          </c:tx>
          <c:invertIfNegative val="0"/>
          <c:cat>
            <c:strRef>
              <c:f>'EXTRACC. POZOS'!$F$5:$Q$5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'EXTRACC. POZOS'!$F$13:$Q$13</c:f>
              <c:numCache>
                <c:formatCode>General</c:formatCode>
                <c:ptCount val="12"/>
                <c:pt idx="0">
                  <c:v>79672</c:v>
                </c:pt>
                <c:pt idx="1">
                  <c:v>75395</c:v>
                </c:pt>
                <c:pt idx="2">
                  <c:v>80918</c:v>
                </c:pt>
                <c:pt idx="3">
                  <c:v>84832</c:v>
                </c:pt>
                <c:pt idx="4">
                  <c:v>91286</c:v>
                </c:pt>
                <c:pt idx="5">
                  <c:v>90097</c:v>
                </c:pt>
                <c:pt idx="6">
                  <c:v>81551</c:v>
                </c:pt>
                <c:pt idx="7">
                  <c:v>83942</c:v>
                </c:pt>
                <c:pt idx="8" formatCode="#,##0">
                  <c:v>70392</c:v>
                </c:pt>
                <c:pt idx="9">
                  <c:v>73531</c:v>
                </c:pt>
                <c:pt idx="10">
                  <c:v>76658</c:v>
                </c:pt>
                <c:pt idx="11">
                  <c:v>78885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29632"/>
        <c:axId val="465530024"/>
      </c:barChart>
      <c:lineChart>
        <c:grouping val="standard"/>
        <c:varyColors val="0"/>
        <c:ser>
          <c:idx val="1"/>
          <c:order val="1"/>
          <c:tx>
            <c:strRef>
              <c:f>'EXTRACC. POZOS'!$J$15:$L$15</c:f>
              <c:strCache>
                <c:ptCount val="3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'EXTRACC. POZOS'!$F$5:$Q$5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'EXTRACC. POZOS'!$F$22:$Q$22</c:f>
              <c:numCache>
                <c:formatCode>General</c:formatCode>
                <c:ptCount val="12"/>
                <c:pt idx="0">
                  <c:v>77743</c:v>
                </c:pt>
                <c:pt idx="1">
                  <c:v>70100</c:v>
                </c:pt>
                <c:pt idx="2">
                  <c:v>90070</c:v>
                </c:pt>
                <c:pt idx="3">
                  <c:v>90289</c:v>
                </c:pt>
                <c:pt idx="4">
                  <c:v>86844</c:v>
                </c:pt>
                <c:pt idx="5">
                  <c:v>71154</c:v>
                </c:pt>
                <c:pt idx="6">
                  <c:v>77329</c:v>
                </c:pt>
                <c:pt idx="7">
                  <c:v>78252</c:v>
                </c:pt>
                <c:pt idx="8">
                  <c:v>65753</c:v>
                </c:pt>
                <c:pt idx="9">
                  <c:v>70738</c:v>
                </c:pt>
                <c:pt idx="10">
                  <c:v>69576</c:v>
                </c:pt>
                <c:pt idx="11">
                  <c:v>73040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'EXTRACC. POZOS'!$K$24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'EXTRACC. POZOS'!$F$31:$Q$31</c:f>
              <c:numCache>
                <c:formatCode>General</c:formatCode>
                <c:ptCount val="12"/>
                <c:pt idx="0">
                  <c:v>76628</c:v>
                </c:pt>
                <c:pt idx="1">
                  <c:v>73620</c:v>
                </c:pt>
                <c:pt idx="2">
                  <c:v>93473</c:v>
                </c:pt>
                <c:pt idx="3">
                  <c:v>94732</c:v>
                </c:pt>
                <c:pt idx="4">
                  <c:v>104655</c:v>
                </c:pt>
                <c:pt idx="5">
                  <c:v>89074</c:v>
                </c:pt>
                <c:pt idx="6">
                  <c:v>87494</c:v>
                </c:pt>
                <c:pt idx="7">
                  <c:v>88801</c:v>
                </c:pt>
                <c:pt idx="8">
                  <c:v>87297</c:v>
                </c:pt>
                <c:pt idx="9">
                  <c:v>85924</c:v>
                </c:pt>
                <c:pt idx="10">
                  <c:v>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9632"/>
        <c:axId val="465530024"/>
      </c:lineChart>
      <c:catAx>
        <c:axId val="46552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5530024"/>
        <c:crosses val="autoZero"/>
        <c:auto val="1"/>
        <c:lblAlgn val="ctr"/>
        <c:lblOffset val="100"/>
        <c:noMultiLvlLbl val="0"/>
      </c:catAx>
      <c:valAx>
        <c:axId val="46553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52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'EXTRACC. POZOS'!$D$38</c:f>
              <c:strCache>
                <c:ptCount val="1"/>
                <c:pt idx="0">
                  <c:v>COSTO DE M3 INGRESADO</c:v>
                </c:pt>
              </c:strCache>
            </c:strRef>
          </c:tx>
          <c:cat>
            <c:strRef>
              <c:f>'EXTRACC. POZOS'!$F$5:$N$5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'EXTRACC. POZOS'!$F$38:$N$38</c:f>
              <c:numCache>
                <c:formatCode>_("$"* #,##0.00_);_("$"* \(#,##0.00\);_("$"* "-"??_);_(@_)</c:formatCode>
                <c:ptCount val="9"/>
                <c:pt idx="0">
                  <c:v>14.910253414315056</c:v>
                </c:pt>
                <c:pt idx="1">
                  <c:v>11.136586020495336</c:v>
                </c:pt>
                <c:pt idx="2">
                  <c:v>13.051498831474737</c:v>
                </c:pt>
                <c:pt idx="3">
                  <c:v>12.59</c:v>
                </c:pt>
                <c:pt idx="4">
                  <c:v>12.400401367137551</c:v>
                </c:pt>
                <c:pt idx="5">
                  <c:v>11.313021381383985</c:v>
                </c:pt>
                <c:pt idx="6">
                  <c:v>14.891531418549539</c:v>
                </c:pt>
                <c:pt idx="7">
                  <c:v>13.175617057588498</c:v>
                </c:pt>
                <c:pt idx="8">
                  <c:v>12.781152814047655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'EXTRACC. POZOS'!$D$35</c:f>
              <c:strCache>
                <c:ptCount val="1"/>
                <c:pt idx="0">
                  <c:v>COSTO ENERGIA P/ 1M3</c:v>
                </c:pt>
              </c:strCache>
            </c:strRef>
          </c:tx>
          <c:val>
            <c:numRef>
              <c:f>'EXTRACC. POZOS'!$F$35:$N$35</c:f>
              <c:numCache>
                <c:formatCode>_("$"* #,##0.00_);_("$"* \(#,##0.00\);_("$"* "-"??_);_(@_)</c:formatCode>
                <c:ptCount val="9"/>
                <c:pt idx="0">
                  <c:v>2.7674218301404188</c:v>
                </c:pt>
                <c:pt idx="1">
                  <c:v>3.4077832110839448</c:v>
                </c:pt>
                <c:pt idx="2">
                  <c:v>2.518633616124442</c:v>
                </c:pt>
                <c:pt idx="3">
                  <c:v>3.3712050838153949</c:v>
                </c:pt>
                <c:pt idx="4">
                  <c:v>2.626248148678993</c:v>
                </c:pt>
                <c:pt idx="5">
                  <c:v>3.3127287423939644</c:v>
                </c:pt>
                <c:pt idx="6">
                  <c:v>3.7200493748142729</c:v>
                </c:pt>
                <c:pt idx="7">
                  <c:v>4.5706917714890603</c:v>
                </c:pt>
                <c:pt idx="8">
                  <c:v>3.8027309071331201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'EXTRACC. POZOS'!$D$36</c:f>
              <c:strCache>
                <c:ptCount val="1"/>
                <c:pt idx="0">
                  <c:v>COSTO DE M.O P/1M3</c:v>
                </c:pt>
              </c:strCache>
            </c:strRef>
          </c:tx>
          <c:val>
            <c:numRef>
              <c:f>'EXTRACC. POZOS'!$F$36:$N$36</c:f>
              <c:numCache>
                <c:formatCode>_("$"* #,##0.00_);_("$"* \(#,##0.00\);_("$"* "-"??_);_(@_)</c:formatCode>
                <c:ptCount val="9"/>
                <c:pt idx="0">
                  <c:v>4.1599676358511246</c:v>
                </c:pt>
                <c:pt idx="1">
                  <c:v>4.8373455582722089</c:v>
                </c:pt>
                <c:pt idx="2">
                  <c:v>1.9179375862548544</c:v>
                </c:pt>
                <c:pt idx="3">
                  <c:v>3.7671893341215217</c:v>
                </c:pt>
                <c:pt idx="4">
                  <c:v>1.9125622282738519</c:v>
                </c:pt>
                <c:pt idx="5">
                  <c:v>2.0801643577250375</c:v>
                </c:pt>
                <c:pt idx="6">
                  <c:v>2.8929605458660022</c:v>
                </c:pt>
                <c:pt idx="7">
                  <c:v>3.1295478654519653</c:v>
                </c:pt>
                <c:pt idx="8">
                  <c:v>4.3323639987628439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8752"/>
        <c:axId val="318239144"/>
      </c:lineChart>
      <c:catAx>
        <c:axId val="31823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239144"/>
        <c:crosses val="autoZero"/>
        <c:auto val="1"/>
        <c:lblAlgn val="ctr"/>
        <c:lblOffset val="100"/>
        <c:noMultiLvlLbl val="0"/>
      </c:catAx>
      <c:valAx>
        <c:axId val="31823914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182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'TRATAMIENTO DE AGUA'!$B$9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AGUA'!$B$13:$B$14</c:f>
              <c:numCache>
                <c:formatCode>0%</c:formatCode>
                <c:ptCount val="2"/>
                <c:pt idx="0">
                  <c:v>0.65329946495162949</c:v>
                </c:pt>
                <c:pt idx="1">
                  <c:v>0.34670053504837051</c:v>
                </c:pt>
              </c:numCache>
            </c:numRef>
          </c:val>
        </c:ser>
        <c:ser>
          <c:idx val="2"/>
          <c:order val="2"/>
          <c:tx>
            <c:strRef>
              <c:f>'TRATAMIENTO DE AGUA'!$D$9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AGUA'!$D$13:$D$14</c:f>
              <c:numCache>
                <c:formatCode>0%</c:formatCode>
                <c:ptCount val="2"/>
                <c:pt idx="0">
                  <c:v>0.58287419194430512</c:v>
                </c:pt>
                <c:pt idx="1">
                  <c:v>0.41712580805569488</c:v>
                </c:pt>
              </c:numCache>
            </c:numRef>
          </c:val>
        </c:ser>
        <c:ser>
          <c:idx val="3"/>
          <c:order val="3"/>
          <c:tx>
            <c:strRef>
              <c:f>'TRATAMIENTO DE AGUA'!$E$9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AGUA'!$E$13:$E$14</c:f>
              <c:numCache>
                <c:formatCode>0%</c:formatCode>
                <c:ptCount val="2"/>
                <c:pt idx="0">
                  <c:v>0.70531584397652747</c:v>
                </c:pt>
                <c:pt idx="1">
                  <c:v>0.29468415602347253</c:v>
                </c:pt>
              </c:numCache>
            </c:numRef>
          </c:val>
        </c:ser>
        <c:ser>
          <c:idx val="4"/>
          <c:order val="4"/>
          <c:tx>
            <c:strRef>
              <c:f>'TRATAMIENTO DE AGUA'!$F$9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AGUA'!$F$13:$F$14</c:f>
              <c:numCache>
                <c:formatCode>0%</c:formatCode>
                <c:ptCount val="2"/>
                <c:pt idx="0">
                  <c:v>0.71645777092171237</c:v>
                </c:pt>
                <c:pt idx="1">
                  <c:v>0.28354222907828763</c:v>
                </c:pt>
              </c:numCache>
            </c:numRef>
          </c:val>
        </c:ser>
        <c:ser>
          <c:idx val="5"/>
          <c:order val="5"/>
          <c:tx>
            <c:strRef>
              <c:f>'TRATAMIENTO DE AGUA'!$G$9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AGUA'!$G$13:$G$14</c:f>
              <c:numCache>
                <c:formatCode>0%</c:formatCode>
                <c:ptCount val="2"/>
                <c:pt idx="0">
                  <c:v>0.8193672099712368</c:v>
                </c:pt>
                <c:pt idx="1">
                  <c:v>0.1806327900287632</c:v>
                </c:pt>
              </c:numCache>
            </c:numRef>
          </c:val>
        </c:ser>
        <c:ser>
          <c:idx val="6"/>
          <c:order val="6"/>
          <c:tx>
            <c:strRef>
              <c:f>'TRATAMIENTO DE AGUA'!$H$9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AGUA'!$H$13:$H$14</c:f>
              <c:numCache>
                <c:formatCode>0%</c:formatCode>
                <c:ptCount val="2"/>
                <c:pt idx="0">
                  <c:v>0.86649384029070275</c:v>
                </c:pt>
                <c:pt idx="1">
                  <c:v>0.13350615970929725</c:v>
                </c:pt>
              </c:numCache>
            </c:numRef>
          </c:val>
        </c:ser>
        <c:ser>
          <c:idx val="7"/>
          <c:order val="7"/>
          <c:tx>
            <c:strRef>
              <c:f>'TRATAMIENTO DE AGUA'!$I$9</c:f>
              <c:strCache>
                <c:ptCount val="1"/>
                <c:pt idx="0">
                  <c:v>AGOS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AGUA'!$I$13:$I$14</c:f>
              <c:numCache>
                <c:formatCode>0%</c:formatCode>
                <c:ptCount val="2"/>
                <c:pt idx="0">
                  <c:v>0.85678758330724214</c:v>
                </c:pt>
                <c:pt idx="1">
                  <c:v>0.14321241669275786</c:v>
                </c:pt>
              </c:numCache>
            </c:numRef>
          </c:val>
        </c:ser>
        <c:ser>
          <c:idx val="8"/>
          <c:order val="8"/>
          <c:tx>
            <c:strRef>
              <c:f>'TRATAMIENTO DE AGUA'!$J$9</c:f>
              <c:strCache>
                <c:ptCount val="1"/>
                <c:pt idx="0">
                  <c:v>SEPT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AGUA'!$J$13:$J$14</c:f>
              <c:numCache>
                <c:formatCode>0%</c:formatCode>
                <c:ptCount val="2"/>
                <c:pt idx="0">
                  <c:v>0.88078552725541548</c:v>
                </c:pt>
                <c:pt idx="1">
                  <c:v>0.11921447274458452</c:v>
                </c:pt>
              </c:numCache>
            </c:numRef>
          </c:val>
        </c:ser>
        <c:ser>
          <c:idx val="9"/>
          <c:order val="9"/>
          <c:tx>
            <c:strRef>
              <c:f>'TRATAMIENTO DE AGUA'!$K$9</c:f>
              <c:strCache>
                <c:ptCount val="1"/>
                <c:pt idx="0">
                  <c:v>OCTU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AGUA'!$K$13:$K$14</c:f>
              <c:numCache>
                <c:formatCode>0%</c:formatCode>
                <c:ptCount val="2"/>
                <c:pt idx="0">
                  <c:v>0.87758023551142927</c:v>
                </c:pt>
                <c:pt idx="1">
                  <c:v>0.12241976448857073</c:v>
                </c:pt>
              </c:numCache>
            </c:numRef>
          </c:val>
        </c:ser>
        <c:ser>
          <c:idx val="10"/>
          <c:order val="10"/>
          <c:tx>
            <c:strRef>
              <c:f>'TRATAMIENTO DE AGUA'!$L$9</c:f>
              <c:strCache>
                <c:ptCount val="1"/>
                <c:pt idx="0">
                  <c:v>NOV 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AGUA'!$L$13:$L$14</c:f>
              <c:numCache>
                <c:formatCode>0%</c:formatCode>
                <c:ptCount val="2"/>
                <c:pt idx="0">
                  <c:v>0.85430629188756624</c:v>
                </c:pt>
                <c:pt idx="1">
                  <c:v>0.14569370811243376</c:v>
                </c:pt>
              </c:numCache>
            </c:numRef>
          </c:val>
        </c:ser>
        <c:ser>
          <c:idx val="11"/>
          <c:order val="11"/>
          <c:tx>
            <c:strRef>
              <c:f>'TRATAMIENTO DE AGUA'!$M$9</c:f>
              <c:strCache>
                <c:ptCount val="1"/>
                <c:pt idx="0">
                  <c:v>DIC</c:v>
                </c:pt>
              </c:strCache>
            </c:strRef>
          </c:tx>
          <c:invertIfNegative val="0"/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AGUA'!$M$13:$M$14</c:f>
              <c:numCache>
                <c:formatCode>0%</c:formatCode>
                <c:ptCount val="2"/>
                <c:pt idx="0">
                  <c:v>0.88336164790826077</c:v>
                </c:pt>
                <c:pt idx="1">
                  <c:v>0.11663835209173923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29240"/>
        <c:axId val="318239928"/>
      </c:barChart>
      <c:lineChart>
        <c:grouping val="standard"/>
        <c:varyColors val="0"/>
        <c:ser>
          <c:idx val="1"/>
          <c:order val="1"/>
          <c:tx>
            <c:strRef>
              <c:f>'TRATAMIENTO DE AGUA'!$C$9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'TRATAMIENTO DE AGUA'!$A$13:$A$14</c:f>
              <c:strCache>
                <c:ptCount val="2"/>
                <c:pt idx="0">
                  <c:v>AGUA TRATADA</c:v>
                </c:pt>
                <c:pt idx="1">
                  <c:v>AGUA NO TRATADA</c:v>
                </c:pt>
              </c:strCache>
            </c:strRef>
          </c:cat>
          <c:val>
            <c:numRef>
              <c:f>'TRATAMIENTO DE AGUA'!$C$13:$C$14</c:f>
              <c:numCache>
                <c:formatCode>0%</c:formatCode>
                <c:ptCount val="2"/>
                <c:pt idx="0">
                  <c:v>0.55821501014198782</c:v>
                </c:pt>
                <c:pt idx="1">
                  <c:v>0.44178498985801218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9240"/>
        <c:axId val="318239928"/>
      </c:lineChart>
      <c:catAx>
        <c:axId val="46552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239928"/>
        <c:crosses val="autoZero"/>
        <c:auto val="1"/>
        <c:lblAlgn val="ctr"/>
        <c:lblOffset val="100"/>
        <c:noMultiLvlLbl val="0"/>
      </c:catAx>
      <c:valAx>
        <c:axId val="318239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552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 entrada a planta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'TRATAMIENTO DE AGUA'!$G$8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'TRATAMIENTO DE AGUA'!$B$9:$M$9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</c:v>
                </c:pt>
                <c:pt idx="8">
                  <c:v>SEPT</c:v>
                </c:pt>
                <c:pt idx="9">
                  <c:v>OCTU</c:v>
                </c:pt>
                <c:pt idx="10">
                  <c:v>NOV </c:v>
                </c:pt>
                <c:pt idx="11">
                  <c:v>DIC</c:v>
                </c:pt>
              </c:strCache>
            </c:strRef>
          </c:cat>
          <c:val>
            <c:numRef>
              <c:f>'TRATAMIENTO DE AGUA'!$B$10:$M$10</c:f>
              <c:numCache>
                <c:formatCode>General</c:formatCode>
                <c:ptCount val="12"/>
                <c:pt idx="0">
                  <c:v>18503</c:v>
                </c:pt>
                <c:pt idx="1">
                  <c:v>19227</c:v>
                </c:pt>
                <c:pt idx="2">
                  <c:v>20110</c:v>
                </c:pt>
                <c:pt idx="3">
                  <c:v>20279</c:v>
                </c:pt>
                <c:pt idx="4">
                  <c:v>20744</c:v>
                </c:pt>
                <c:pt idx="5">
                  <c:v>20860</c:v>
                </c:pt>
                <c:pt idx="6">
                  <c:v>22566</c:v>
                </c:pt>
                <c:pt idx="7">
                  <c:v>22357</c:v>
                </c:pt>
                <c:pt idx="8">
                  <c:v>21005</c:v>
                </c:pt>
                <c:pt idx="9">
                  <c:v>21655</c:v>
                </c:pt>
                <c:pt idx="10">
                  <c:v>19994</c:v>
                </c:pt>
                <c:pt idx="11">
                  <c:v>18836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'TRATAMIENTO DE AGUA'!$G$16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'TRATAMIENTO DE AGUA'!$B$18:$M$18</c:f>
              <c:numCache>
                <c:formatCode>General</c:formatCode>
                <c:ptCount val="12"/>
                <c:pt idx="0">
                  <c:v>17318</c:v>
                </c:pt>
                <c:pt idx="1">
                  <c:v>16696</c:v>
                </c:pt>
                <c:pt idx="2">
                  <c:v>16872</c:v>
                </c:pt>
                <c:pt idx="3">
                  <c:v>17873</c:v>
                </c:pt>
                <c:pt idx="4">
                  <c:v>21564</c:v>
                </c:pt>
                <c:pt idx="5">
                  <c:v>21515</c:v>
                </c:pt>
                <c:pt idx="6">
                  <c:v>22972</c:v>
                </c:pt>
                <c:pt idx="7">
                  <c:v>21827</c:v>
                </c:pt>
                <c:pt idx="8">
                  <c:v>23577</c:v>
                </c:pt>
                <c:pt idx="9">
                  <c:v>25338</c:v>
                </c:pt>
                <c:pt idx="10">
                  <c:v>23921</c:v>
                </c:pt>
                <c:pt idx="11">
                  <c:v>19760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'TRATAMIENTO DE AGUA'!$G$24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'TRATAMIENTO DE AGUA'!$B$26:$M$26</c:f>
              <c:numCache>
                <c:formatCode>General</c:formatCode>
                <c:ptCount val="12"/>
                <c:pt idx="0">
                  <c:v>20461</c:v>
                </c:pt>
                <c:pt idx="1">
                  <c:v>22420</c:v>
                </c:pt>
                <c:pt idx="2">
                  <c:v>23034</c:v>
                </c:pt>
                <c:pt idx="3">
                  <c:v>22111</c:v>
                </c:pt>
                <c:pt idx="4">
                  <c:v>29295</c:v>
                </c:pt>
                <c:pt idx="5">
                  <c:v>21621</c:v>
                </c:pt>
                <c:pt idx="6">
                  <c:v>20988</c:v>
                </c:pt>
                <c:pt idx="7">
                  <c:v>22269.4</c:v>
                </c:pt>
                <c:pt idx="8">
                  <c:v>20743.7</c:v>
                </c:pt>
                <c:pt idx="9">
                  <c:v>20222.400000000001</c:v>
                </c:pt>
                <c:pt idx="10">
                  <c:v>17831.3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21472"/>
        <c:axId val="309821864"/>
      </c:lineChart>
      <c:catAx>
        <c:axId val="30982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9821864"/>
        <c:crosses val="autoZero"/>
        <c:auto val="1"/>
        <c:lblAlgn val="ctr"/>
        <c:lblOffset val="100"/>
        <c:noMultiLvlLbl val="0"/>
      </c:catAx>
      <c:valAx>
        <c:axId val="309821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982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0</xdr:rowOff>
    </xdr:from>
    <xdr:to>
      <xdr:col>6</xdr:col>
      <xdr:colOff>704850</xdr:colOff>
      <xdr:row>33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14</xdr:row>
      <xdr:rowOff>57150</xdr:rowOff>
    </xdr:from>
    <xdr:to>
      <xdr:col>13</xdr:col>
      <xdr:colOff>657224</xdr:colOff>
      <xdr:row>33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0</xdr:rowOff>
    </xdr:from>
    <xdr:to>
      <xdr:col>1</xdr:col>
      <xdr:colOff>742950</xdr:colOff>
      <xdr:row>3</xdr:row>
      <xdr:rowOff>76200</xdr:rowOff>
    </xdr:to>
    <xdr:pic>
      <xdr:nvPicPr>
        <xdr:cNvPr id="5" name="4 Imagen" descr="LOGO-sandi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762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38100</xdr:colOff>
      <xdr:row>8</xdr:row>
      <xdr:rowOff>9525</xdr:rowOff>
    </xdr:from>
    <xdr:to>
      <xdr:col>25</xdr:col>
      <xdr:colOff>476250</xdr:colOff>
      <xdr:row>16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17</xdr:row>
      <xdr:rowOff>57150</xdr:rowOff>
    </xdr:from>
    <xdr:to>
      <xdr:col>25</xdr:col>
      <xdr:colOff>476250</xdr:colOff>
      <xdr:row>24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25</xdr:row>
      <xdr:rowOff>76200</xdr:rowOff>
    </xdr:from>
    <xdr:to>
      <xdr:col>25</xdr:col>
      <xdr:colOff>466725</xdr:colOff>
      <xdr:row>32</xdr:row>
      <xdr:rowOff>76200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1</xdr:col>
      <xdr:colOff>457200</xdr:colOff>
      <xdr:row>3</xdr:row>
      <xdr:rowOff>76200</xdr:rowOff>
    </xdr:to>
    <xdr:pic>
      <xdr:nvPicPr>
        <xdr:cNvPr id="2" name="1 Imagen" descr="LOGO-sandi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762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638176</xdr:colOff>
      <xdr:row>42</xdr:row>
      <xdr:rowOff>66675</xdr:rowOff>
    </xdr:from>
    <xdr:to>
      <xdr:col>15</xdr:col>
      <xdr:colOff>542925</xdr:colOff>
      <xdr:row>56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714374</xdr:colOff>
      <xdr:row>42</xdr:row>
      <xdr:rowOff>104775</xdr:rowOff>
    </xdr:from>
    <xdr:to>
      <xdr:col>17</xdr:col>
      <xdr:colOff>752474</xdr:colOff>
      <xdr:row>60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0</xdr:rowOff>
    </xdr:from>
    <xdr:to>
      <xdr:col>1</xdr:col>
      <xdr:colOff>657225</xdr:colOff>
      <xdr:row>3</xdr:row>
      <xdr:rowOff>76200</xdr:rowOff>
    </xdr:to>
    <xdr:pic>
      <xdr:nvPicPr>
        <xdr:cNvPr id="5" name="4 Imagen" descr="LOGO-sandi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762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38099</xdr:colOff>
      <xdr:row>44</xdr:row>
      <xdr:rowOff>123823</xdr:rowOff>
    </xdr:from>
    <xdr:to>
      <xdr:col>12</xdr:col>
      <xdr:colOff>400049</xdr:colOff>
      <xdr:row>71</xdr:row>
      <xdr:rowOff>38099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6</xdr:row>
      <xdr:rowOff>133350</xdr:rowOff>
    </xdr:from>
    <xdr:to>
      <xdr:col>22</xdr:col>
      <xdr:colOff>219075</xdr:colOff>
      <xdr:row>16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17</xdr:row>
      <xdr:rowOff>133349</xdr:rowOff>
    </xdr:from>
    <xdr:to>
      <xdr:col>22</xdr:col>
      <xdr:colOff>219075</xdr:colOff>
      <xdr:row>30</xdr:row>
      <xdr:rowOff>38099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28575</xdr:colOff>
      <xdr:row>31</xdr:row>
      <xdr:rowOff>9525</xdr:rowOff>
    </xdr:from>
    <xdr:to>
      <xdr:col>22</xdr:col>
      <xdr:colOff>238125</xdr:colOff>
      <xdr:row>44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3</xdr:row>
      <xdr:rowOff>9525</xdr:rowOff>
    </xdr:from>
    <xdr:to>
      <xdr:col>20</xdr:col>
      <xdr:colOff>533400</xdr:colOff>
      <xdr:row>20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552450</xdr:colOff>
      <xdr:row>25</xdr:row>
      <xdr:rowOff>38100</xdr:rowOff>
    </xdr:from>
    <xdr:to>
      <xdr:col>20</xdr:col>
      <xdr:colOff>552450</xdr:colOff>
      <xdr:row>44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552450</xdr:colOff>
      <xdr:row>46</xdr:row>
      <xdr:rowOff>104775</xdr:rowOff>
    </xdr:from>
    <xdr:to>
      <xdr:col>20</xdr:col>
      <xdr:colOff>552450</xdr:colOff>
      <xdr:row>64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16</xdr:row>
      <xdr:rowOff>19049</xdr:rowOff>
    </xdr:from>
    <xdr:to>
      <xdr:col>4</xdr:col>
      <xdr:colOff>47625</xdr:colOff>
      <xdr:row>28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409576</xdr:colOff>
      <xdr:row>16</xdr:row>
      <xdr:rowOff>28575</xdr:rowOff>
    </xdr:from>
    <xdr:to>
      <xdr:col>9</xdr:col>
      <xdr:colOff>371476</xdr:colOff>
      <xdr:row>28</xdr:row>
      <xdr:rowOff>19051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666750</xdr:colOff>
      <xdr:row>16</xdr:row>
      <xdr:rowOff>47624</xdr:rowOff>
    </xdr:from>
    <xdr:to>
      <xdr:col>14</xdr:col>
      <xdr:colOff>76201</xdr:colOff>
      <xdr:row>27</xdr:row>
      <xdr:rowOff>142874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36</xdr:row>
      <xdr:rowOff>28574</xdr:rowOff>
    </xdr:from>
    <xdr:to>
      <xdr:col>6</xdr:col>
      <xdr:colOff>123826</xdr:colOff>
      <xdr:row>47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352426</xdr:colOff>
      <xdr:row>35</xdr:row>
      <xdr:rowOff>133350</xdr:rowOff>
    </xdr:from>
    <xdr:to>
      <xdr:col>11</xdr:col>
      <xdr:colOff>485776</xdr:colOff>
      <xdr:row>47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590549</xdr:colOff>
      <xdr:row>35</xdr:row>
      <xdr:rowOff>104775</xdr:rowOff>
    </xdr:from>
    <xdr:to>
      <xdr:col>16</xdr:col>
      <xdr:colOff>85724</xdr:colOff>
      <xdr:row>47</xdr:row>
      <xdr:rowOff>123824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49</xdr:row>
      <xdr:rowOff>19050</xdr:rowOff>
    </xdr:from>
    <xdr:to>
      <xdr:col>16</xdr:col>
      <xdr:colOff>133350</xdr:colOff>
      <xdr:row>68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27</xdr:row>
      <xdr:rowOff>19049</xdr:rowOff>
    </xdr:from>
    <xdr:to>
      <xdr:col>15</xdr:col>
      <xdr:colOff>19050</xdr:colOff>
      <xdr:row>38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180975</xdr:rowOff>
    </xdr:from>
    <xdr:to>
      <xdr:col>14</xdr:col>
      <xdr:colOff>447675</xdr:colOff>
      <xdr:row>20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xxl27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esktop/xxl27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indicadores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ownloads/SIOO%20Reporte%20Mensual%202019%20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%20DE%20AGUA/Desktop/PTAR%202016/CONTROL%20DE%20CONSUMOS%20PT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%20DE%20AGUA/Desktop/PTAR%202016/AGUA%20TRATADA%20EN%20PIP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ownloads/ingresos%20recaudados%20mensual%20vo.bo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ownloads/sioo%202017%20(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cml17/excel/consum%20po%20uso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consum%20po%20uso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esktop/estadistica%20comparativa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M3"/>
      <sheetName val="FACTURACIÓN"/>
      <sheetName val="INGRESO"/>
      <sheetName val="CONCEPTOS"/>
      <sheetName val="PERDIDAS"/>
      <sheetName val="LTHADI"/>
      <sheetName val="GASTOS"/>
      <sheetName val="PADRON POR USO"/>
      <sheetName val="INGRESO POR CONTR"/>
      <sheetName val="NIVELES"/>
      <sheetName val="INGR POR REC Y GTOS"/>
      <sheetName val="INGR X TOMA"/>
    </sheetNames>
    <sheetDataSet>
      <sheetData sheetId="0">
        <row r="8">
          <cell r="I8">
            <v>75425</v>
          </cell>
        </row>
      </sheetData>
      <sheetData sheetId="1">
        <row r="5">
          <cell r="M5">
            <v>594877</v>
          </cell>
        </row>
        <row r="6">
          <cell r="L6">
            <v>627419</v>
          </cell>
          <cell r="N6">
            <v>627790</v>
          </cell>
        </row>
        <row r="8">
          <cell r="C8">
            <v>642700</v>
          </cell>
          <cell r="D8">
            <v>959994</v>
          </cell>
          <cell r="E8">
            <v>829357</v>
          </cell>
          <cell r="F8">
            <v>832120</v>
          </cell>
          <cell r="G8">
            <v>887169</v>
          </cell>
          <cell r="H8">
            <v>941062</v>
          </cell>
          <cell r="I8">
            <v>831640</v>
          </cell>
          <cell r="J8">
            <v>817975</v>
          </cell>
          <cell r="K8">
            <v>795308.75</v>
          </cell>
          <cell r="M8">
            <v>825009.93</v>
          </cell>
        </row>
      </sheetData>
      <sheetData sheetId="2">
        <row r="6">
          <cell r="L6">
            <v>718856</v>
          </cell>
          <cell r="M6">
            <v>635312</v>
          </cell>
          <cell r="N6">
            <v>473941</v>
          </cell>
        </row>
        <row r="8">
          <cell r="C8">
            <v>1235975</v>
          </cell>
          <cell r="D8">
            <v>779303</v>
          </cell>
          <cell r="E8">
            <v>811962</v>
          </cell>
          <cell r="F8">
            <v>839342</v>
          </cell>
          <cell r="G8">
            <v>893397</v>
          </cell>
          <cell r="H8">
            <v>872668</v>
          </cell>
          <cell r="I8">
            <v>910082</v>
          </cell>
          <cell r="J8">
            <v>806051</v>
          </cell>
          <cell r="K8">
            <v>801471.06</v>
          </cell>
          <cell r="M8">
            <v>902921.72</v>
          </cell>
        </row>
      </sheetData>
      <sheetData sheetId="3"/>
      <sheetData sheetId="4"/>
      <sheetData sheetId="5"/>
      <sheetData sheetId="6"/>
      <sheetData sheetId="7">
        <row r="29">
          <cell r="M29">
            <v>5415</v>
          </cell>
        </row>
        <row r="38">
          <cell r="M38">
            <v>6217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M3"/>
      <sheetName val="FACTURACIÓN"/>
      <sheetName val="INGRESO"/>
      <sheetName val="CONCEPTOS"/>
      <sheetName val="PERDIDAS"/>
      <sheetName val="LTHADI"/>
      <sheetName val="COL ASIG"/>
      <sheetName val="GASTOS"/>
      <sheetName val="PADRON POR USO"/>
      <sheetName val="INGRESO POR CONTR"/>
      <sheetName val="SOLICITUDES"/>
      <sheetName val="GASOLINA"/>
      <sheetName val="CENSO"/>
      <sheetName val="ESCUELAS"/>
      <sheetName val="Hoja1"/>
    </sheetNames>
    <sheetDataSet>
      <sheetData sheetId="0" refreshError="1"/>
      <sheetData sheetId="1" refreshError="1">
        <row r="6">
          <cell r="K6">
            <v>636030</v>
          </cell>
        </row>
      </sheetData>
      <sheetData sheetId="2" refreshError="1">
        <row r="6">
          <cell r="J6">
            <v>680674</v>
          </cell>
          <cell r="K6">
            <v>603314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m3 entregados"/>
      <sheetName val="EXTRA - FACT"/>
      <sheetName val="EXTRACC. POZOS"/>
      <sheetName val="TRATAMIENTO DE AGUA"/>
      <sheetName val="SIOO17"/>
      <sheetName val="INGRESO POR RANGOS"/>
      <sheetName val="GRAFICOS POR USO"/>
      <sheetName val="eficiencias"/>
      <sheetName val="ORDENES "/>
      <sheetName val="DISTRI  CONS"/>
    </sheetNames>
    <sheetDataSet>
      <sheetData sheetId="0"/>
      <sheetData sheetId="1"/>
      <sheetData sheetId="2">
        <row r="28">
          <cell r="C28">
            <v>76628</v>
          </cell>
          <cell r="D28">
            <v>73620</v>
          </cell>
          <cell r="E28">
            <v>93473</v>
          </cell>
          <cell r="F28">
            <v>94732</v>
          </cell>
          <cell r="G28">
            <v>104655</v>
          </cell>
          <cell r="I28">
            <v>87494</v>
          </cell>
          <cell r="J28">
            <v>88801</v>
          </cell>
          <cell r="K28">
            <v>87297</v>
          </cell>
          <cell r="M28">
            <v>82233</v>
          </cell>
        </row>
        <row r="29">
          <cell r="C29">
            <v>62714</v>
          </cell>
          <cell r="D29">
            <v>54577</v>
          </cell>
          <cell r="E29">
            <v>63015</v>
          </cell>
          <cell r="F29">
            <v>63161</v>
          </cell>
          <cell r="G29">
            <v>69269</v>
          </cell>
          <cell r="H29">
            <v>75425</v>
          </cell>
          <cell r="I29">
            <v>60405</v>
          </cell>
          <cell r="K29">
            <v>56496</v>
          </cell>
          <cell r="M29">
            <v>60277</v>
          </cell>
        </row>
        <row r="30">
          <cell r="G30">
            <v>35386</v>
          </cell>
          <cell r="H30">
            <v>13649</v>
          </cell>
          <cell r="I30">
            <v>27089</v>
          </cell>
          <cell r="J30">
            <v>30587</v>
          </cell>
          <cell r="K30">
            <v>30801</v>
          </cell>
          <cell r="L30">
            <v>24212</v>
          </cell>
          <cell r="M30">
            <v>21956</v>
          </cell>
        </row>
        <row r="31">
          <cell r="H31">
            <v>0.84676785594000492</v>
          </cell>
          <cell r="J31">
            <v>0.65555568067927161</v>
          </cell>
        </row>
      </sheetData>
      <sheetData sheetId="3">
        <row r="31">
          <cell r="F31">
            <v>76628</v>
          </cell>
          <cell r="G31">
            <v>73620</v>
          </cell>
          <cell r="H31">
            <v>93473</v>
          </cell>
          <cell r="I31">
            <v>94732</v>
          </cell>
          <cell r="J31">
            <v>104655</v>
          </cell>
          <cell r="K31">
            <v>89074</v>
          </cell>
          <cell r="L31">
            <v>87494</v>
          </cell>
          <cell r="P31">
            <v>82233</v>
          </cell>
        </row>
      </sheetData>
      <sheetData sheetId="4">
        <row r="27">
          <cell r="B27">
            <v>15835</v>
          </cell>
          <cell r="C27">
            <v>19091.3</v>
          </cell>
          <cell r="D27">
            <v>19192</v>
          </cell>
          <cell r="E27">
            <v>19301</v>
          </cell>
          <cell r="F27">
            <v>18437</v>
          </cell>
          <cell r="G27">
            <v>18490</v>
          </cell>
          <cell r="H27">
            <v>19283</v>
          </cell>
          <cell r="L27">
            <v>14531.3</v>
          </cell>
        </row>
      </sheetData>
      <sheetData sheetId="5"/>
      <sheetData sheetId="6"/>
      <sheetData sheetId="7">
        <row r="11">
          <cell r="H11">
            <v>69695</v>
          </cell>
          <cell r="I11">
            <v>67902</v>
          </cell>
          <cell r="J11">
            <v>59437</v>
          </cell>
        </row>
        <row r="22">
          <cell r="I22">
            <v>60451</v>
          </cell>
          <cell r="J22">
            <v>58340</v>
          </cell>
        </row>
        <row r="33">
          <cell r="I33">
            <v>910793</v>
          </cell>
          <cell r="J33">
            <v>801406</v>
          </cell>
        </row>
        <row r="45">
          <cell r="I45">
            <v>831640</v>
          </cell>
          <cell r="J45">
            <v>817975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o 2019"/>
    </sheetNames>
    <sheetDataSet>
      <sheetData sheetId="0">
        <row r="160">
          <cell r="D160">
            <v>14092</v>
          </cell>
        </row>
        <row r="161">
          <cell r="D161">
            <v>20970</v>
          </cell>
        </row>
        <row r="162">
          <cell r="D162">
            <v>5285</v>
          </cell>
        </row>
        <row r="163">
          <cell r="D163">
            <v>8170</v>
          </cell>
        </row>
        <row r="164">
          <cell r="D164">
            <v>33130</v>
          </cell>
        </row>
        <row r="166">
          <cell r="D166">
            <v>4277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R 2016"/>
      <sheetName val="SAN JUAN"/>
      <sheetName val="graficas"/>
      <sheetName val="PTAR 2017"/>
      <sheetName val="formato"/>
    </sheetNames>
    <sheetDataSet>
      <sheetData sheetId="0" refreshError="1"/>
      <sheetData sheetId="1" refreshError="1"/>
      <sheetData sheetId="2" refreshError="1"/>
      <sheetData sheetId="3" refreshError="1">
        <row r="33">
          <cell r="E33">
            <v>19503</v>
          </cell>
        </row>
        <row r="299">
          <cell r="E299">
            <v>22357</v>
          </cell>
          <cell r="H299">
            <v>19155.200000000012</v>
          </cell>
          <cell r="K299">
            <v>3756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"/>
      <sheetName val="INCOARMEX"/>
      <sheetName val="FIMSA"/>
      <sheetName val="REAGA"/>
      <sheetName val="formato"/>
      <sheetName val="FIGUEROA"/>
      <sheetName val="FALCON"/>
      <sheetName val="ESTHER RDZ"/>
      <sheetName val="condor"/>
    </sheetNames>
    <sheetDataSet>
      <sheetData sheetId="0" refreshError="1">
        <row r="1023">
          <cell r="E1023">
            <v>790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4">
          <cell r="F4">
            <v>17575.04</v>
          </cell>
          <cell r="J4">
            <v>23884</v>
          </cell>
        </row>
        <row r="5">
          <cell r="J5">
            <v>0</v>
          </cell>
        </row>
        <row r="6">
          <cell r="J6">
            <v>711808.78</v>
          </cell>
        </row>
        <row r="7">
          <cell r="J7">
            <v>1204</v>
          </cell>
        </row>
        <row r="8">
          <cell r="J8">
            <v>2094</v>
          </cell>
        </row>
        <row r="9">
          <cell r="J9">
            <v>88</v>
          </cell>
        </row>
        <row r="10">
          <cell r="J10">
            <v>11739</v>
          </cell>
        </row>
        <row r="11">
          <cell r="J11">
            <v>880</v>
          </cell>
        </row>
        <row r="16">
          <cell r="J16">
            <v>5608</v>
          </cell>
        </row>
        <row r="17">
          <cell r="J17">
            <v>2164</v>
          </cell>
        </row>
        <row r="18">
          <cell r="J18">
            <v>18914</v>
          </cell>
        </row>
        <row r="22">
          <cell r="J22">
            <v>666</v>
          </cell>
        </row>
        <row r="23">
          <cell r="J23">
            <v>15550</v>
          </cell>
        </row>
        <row r="25">
          <cell r="J25">
            <v>10191</v>
          </cell>
        </row>
        <row r="26">
          <cell r="J26">
            <v>47543</v>
          </cell>
        </row>
        <row r="27">
          <cell r="J27">
            <v>0</v>
          </cell>
        </row>
        <row r="30">
          <cell r="J30">
            <v>863513.78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O"/>
      <sheetName val="INGRESOS"/>
      <sheetName val="EGRESOS "/>
      <sheetName val="GRAFICAS"/>
    </sheetNames>
    <sheetDataSet>
      <sheetData sheetId="0"/>
      <sheetData sheetId="1">
        <row r="4">
          <cell r="M4">
            <v>23134</v>
          </cell>
          <cell r="N4">
            <v>21401</v>
          </cell>
          <cell r="O4">
            <v>24005</v>
          </cell>
        </row>
        <row r="5">
          <cell r="M5">
            <v>9</v>
          </cell>
          <cell r="N5">
            <v>0</v>
          </cell>
          <cell r="O5">
            <v>30</v>
          </cell>
        </row>
        <row r="7">
          <cell r="M7">
            <v>680321</v>
          </cell>
          <cell r="N7">
            <v>604975</v>
          </cell>
          <cell r="O7">
            <v>721017</v>
          </cell>
        </row>
        <row r="8">
          <cell r="M8">
            <v>564</v>
          </cell>
          <cell r="N8">
            <v>0</v>
          </cell>
          <cell r="O8">
            <v>204</v>
          </cell>
        </row>
        <row r="9">
          <cell r="M9">
            <v>1320</v>
          </cell>
          <cell r="N9">
            <v>1056</v>
          </cell>
          <cell r="O9">
            <v>1764</v>
          </cell>
        </row>
        <row r="10">
          <cell r="M10">
            <v>660</v>
          </cell>
          <cell r="N10">
            <v>792</v>
          </cell>
          <cell r="O10">
            <v>392</v>
          </cell>
        </row>
        <row r="11">
          <cell r="M11">
            <v>7146</v>
          </cell>
          <cell r="N11">
            <v>5856</v>
          </cell>
          <cell r="O11">
            <v>9348</v>
          </cell>
        </row>
        <row r="12">
          <cell r="M12">
            <v>976</v>
          </cell>
          <cell r="N12">
            <v>1464</v>
          </cell>
          <cell r="O12">
            <v>725</v>
          </cell>
        </row>
        <row r="14">
          <cell r="M14">
            <v>111194</v>
          </cell>
          <cell r="N14">
            <v>0</v>
          </cell>
          <cell r="O14">
            <v>0</v>
          </cell>
        </row>
        <row r="17">
          <cell r="M17">
            <v>2934</v>
          </cell>
          <cell r="N17">
            <v>2256</v>
          </cell>
          <cell r="O17">
            <v>3496</v>
          </cell>
        </row>
        <row r="18">
          <cell r="M18">
            <v>1840</v>
          </cell>
          <cell r="N18">
            <v>7824</v>
          </cell>
          <cell r="O18">
            <v>4448</v>
          </cell>
        </row>
        <row r="19">
          <cell r="M19">
            <v>11763</v>
          </cell>
          <cell r="N19">
            <v>13341</v>
          </cell>
          <cell r="O19">
            <v>20830</v>
          </cell>
        </row>
        <row r="23">
          <cell r="M23">
            <v>882</v>
          </cell>
          <cell r="N23">
            <v>241</v>
          </cell>
          <cell r="O23">
            <v>580</v>
          </cell>
        </row>
        <row r="24">
          <cell r="M24">
            <v>4978</v>
          </cell>
          <cell r="N24">
            <v>6873</v>
          </cell>
          <cell r="O24">
            <v>1450</v>
          </cell>
        </row>
        <row r="26">
          <cell r="M26">
            <v>3562</v>
          </cell>
          <cell r="N26">
            <v>3407</v>
          </cell>
          <cell r="O26">
            <v>5702</v>
          </cell>
        </row>
        <row r="28">
          <cell r="M28">
            <v>46250</v>
          </cell>
          <cell r="N28">
            <v>42772</v>
          </cell>
          <cell r="O28">
            <v>47731</v>
          </cell>
        </row>
        <row r="29">
          <cell r="M29">
            <v>0</v>
          </cell>
          <cell r="N29">
            <v>0</v>
          </cell>
          <cell r="O29">
            <v>62</v>
          </cell>
        </row>
        <row r="32">
          <cell r="M32">
            <v>911772.59</v>
          </cell>
          <cell r="N32">
            <v>726846</v>
          </cell>
          <cell r="O32">
            <v>861396</v>
          </cell>
        </row>
      </sheetData>
      <sheetData sheetId="2">
        <row r="83">
          <cell r="O83">
            <v>12849</v>
          </cell>
          <cell r="P83">
            <v>17764</v>
          </cell>
          <cell r="Q83">
            <v>14870</v>
          </cell>
        </row>
        <row r="286">
          <cell r="O286">
            <v>158472</v>
          </cell>
          <cell r="P286">
            <v>167636</v>
          </cell>
          <cell r="Q286">
            <v>169212</v>
          </cell>
        </row>
        <row r="299">
          <cell r="N299">
            <v>684737.47</v>
          </cell>
          <cell r="O299">
            <v>675771.04</v>
          </cell>
          <cell r="P299">
            <v>631061.94999999995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21">
          <cell r="F21">
            <v>628602</v>
          </cell>
          <cell r="H21">
            <v>654885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ANGOS"/>
      <sheetName val="Hoja3"/>
    </sheetNames>
    <sheetDataSet>
      <sheetData sheetId="0" refreshError="1">
        <row r="20">
          <cell r="I20">
            <v>14266</v>
          </cell>
        </row>
        <row r="21">
          <cell r="I21">
            <v>660429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M3"/>
      <sheetName val="FACTURACIÓN"/>
      <sheetName val="INGRESO"/>
      <sheetName val="CONCEPTOS"/>
      <sheetName val="PERDIDAS"/>
      <sheetName val="LTHADI"/>
      <sheetName val="COL ASIG"/>
      <sheetName val="GASTOS"/>
      <sheetName val="PADRON POR USO"/>
      <sheetName val="INGRESO POR CONTR"/>
      <sheetName val="SOLICITUDES"/>
      <sheetName val="GASOLINA"/>
      <sheetName val="Hoja2"/>
    </sheetNames>
    <sheetDataSet>
      <sheetData sheetId="0" refreshError="1"/>
      <sheetData sheetId="1" refreshError="1">
        <row r="6">
          <cell r="I6">
            <v>674835</v>
          </cell>
          <cell r="J6">
            <v>651307</v>
          </cell>
        </row>
      </sheetData>
      <sheetData sheetId="2" refreshError="1">
        <row r="6">
          <cell r="I6">
            <v>660071</v>
          </cell>
          <cell r="J6">
            <v>680674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mercial@sandiegocmapas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16" zoomScaleNormal="100" workbookViewId="0">
      <selection activeCell="K4" sqref="K4"/>
    </sheetView>
  </sheetViews>
  <sheetFormatPr baseColWidth="10" defaultRowHeight="11.25" x14ac:dyDescent="0.2"/>
  <cols>
    <col min="1" max="1" width="50" style="1" customWidth="1"/>
    <col min="2" max="2" width="11.42578125" style="1" hidden="1" customWidth="1"/>
    <col min="3" max="3" width="33.140625" style="1" customWidth="1"/>
    <col min="4" max="5" width="14.5703125" style="1" customWidth="1"/>
    <col min="6" max="6" width="10.5703125" style="1" customWidth="1"/>
    <col min="7" max="7" width="11.28515625" style="1" customWidth="1"/>
    <col min="8" max="8" width="11.42578125" style="1" hidden="1" customWidth="1"/>
    <col min="9" max="13" width="11.42578125" style="1" customWidth="1"/>
    <col min="14" max="16" width="11.42578125" style="1"/>
    <col min="17" max="17" width="11.7109375" style="1" bestFit="1" customWidth="1"/>
    <col min="18" max="16384" width="11.42578125" style="1"/>
  </cols>
  <sheetData>
    <row r="1" spans="1:20" x14ac:dyDescent="0.2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208"/>
      <c r="Q1" s="208"/>
      <c r="R1" s="208"/>
    </row>
    <row r="2" spans="1:20" x14ac:dyDescent="0.2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208"/>
      <c r="Q2" s="208"/>
      <c r="R2" s="208"/>
    </row>
    <row r="3" spans="1:20" x14ac:dyDescent="0.2">
      <c r="A3" s="420" t="s">
        <v>278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208"/>
      <c r="Q3" s="208"/>
      <c r="R3" s="208"/>
    </row>
    <row r="4" spans="1:20" x14ac:dyDescent="0.2">
      <c r="D4" s="17"/>
    </row>
    <row r="5" spans="1:20" ht="12" thickBot="1" x14ac:dyDescent="0.25">
      <c r="A5" s="10"/>
      <c r="D5" s="407" t="s">
        <v>352</v>
      </c>
    </row>
    <row r="6" spans="1:20" x14ac:dyDescent="0.2">
      <c r="A6" s="261" t="s">
        <v>2</v>
      </c>
      <c r="B6" s="262" t="s">
        <v>3</v>
      </c>
      <c r="C6" s="262" t="s">
        <v>3</v>
      </c>
      <c r="D6" s="265" t="s">
        <v>4</v>
      </c>
      <c r="E6" s="265" t="s">
        <v>5</v>
      </c>
      <c r="F6" s="265" t="s">
        <v>6</v>
      </c>
      <c r="G6" s="265" t="s">
        <v>7</v>
      </c>
      <c r="H6" s="265" t="s">
        <v>8</v>
      </c>
      <c r="I6" s="265" t="s">
        <v>8</v>
      </c>
      <c r="J6" s="265" t="s">
        <v>9</v>
      </c>
      <c r="K6" s="265" t="s">
        <v>10</v>
      </c>
      <c r="L6" s="265" t="s">
        <v>11</v>
      </c>
      <c r="M6" s="265" t="s">
        <v>12</v>
      </c>
      <c r="N6" s="266" t="s">
        <v>13</v>
      </c>
      <c r="O6" s="266" t="s">
        <v>14</v>
      </c>
      <c r="P6" s="266" t="s">
        <v>15</v>
      </c>
      <c r="Q6" s="265" t="s">
        <v>325</v>
      </c>
      <c r="R6" s="265" t="s">
        <v>324</v>
      </c>
    </row>
    <row r="7" spans="1:20" ht="20.25" customHeight="1" x14ac:dyDescent="0.2">
      <c r="A7" s="267" t="s">
        <v>16</v>
      </c>
      <c r="B7" s="209"/>
      <c r="C7" s="210" t="s">
        <v>216</v>
      </c>
      <c r="D7" s="211">
        <f>+'EXTRA - FACT'!C29/'EXTRA - FACT'!C28</f>
        <v>0.81842146473873778</v>
      </c>
      <c r="E7" s="211">
        <f>+'EXTRA - FACT'!D29/'EXTRA - FACT'!D28</f>
        <v>0.74133387666395001</v>
      </c>
      <c r="F7" s="211">
        <f>+'EXTRA - FACT'!E29/'EXTRA - FACT'!E28</f>
        <v>0.67415189412985566</v>
      </c>
      <c r="G7" s="211">
        <f>+'EXTRA - FACT'!F29/'EXTRA - FACT'!F28</f>
        <v>0.66673352193556557</v>
      </c>
      <c r="H7" s="211">
        <f>+'EXTRA - FACT'!G29/'EXTRA - FACT'!G28</f>
        <v>0.66187950886245284</v>
      </c>
      <c r="I7" s="211">
        <f>+'EXTRA - FACT'!G29/'EXTRA - FACT'!G28</f>
        <v>0.66187950886245284</v>
      </c>
      <c r="J7" s="211">
        <f>+'EXTRA - FACT'!H29/'EXTRA - FACT'!H28</f>
        <v>0.84676785594000492</v>
      </c>
      <c r="K7" s="211">
        <f>+'EXTRA - FACT'!I29/'EXTRA - FACT'!I28</f>
        <v>0.69039019818501846</v>
      </c>
      <c r="L7" s="211">
        <f>+'EXTRA - FACT'!J29/'EXTRA - FACT'!J28</f>
        <v>0.65555568067927161</v>
      </c>
      <c r="M7" s="211">
        <f>+'EXTRA - FACT'!K29/'EXTRA - FACT'!K28</f>
        <v>0.64717000584212514</v>
      </c>
      <c r="N7" s="211">
        <f>+'EXTRA - FACT'!L29/'EXTRA - FACT'!L28</f>
        <v>0.7182160979470229</v>
      </c>
      <c r="O7" s="211">
        <f>+'EXTRA - FACT'!M29/'EXTRA - FACT'!M28</f>
        <v>0.73300256587987789</v>
      </c>
      <c r="P7" s="211" t="e">
        <f>+'EXTRA - FACT'!O29/'EXTRA - FACT'!O28</f>
        <v>#DIV/0!</v>
      </c>
      <c r="Q7" s="229"/>
      <c r="R7" s="228"/>
    </row>
    <row r="8" spans="1:20" ht="21.75" customHeight="1" x14ac:dyDescent="0.2">
      <c r="A8" s="267" t="s">
        <v>17</v>
      </c>
      <c r="B8" s="209"/>
      <c r="C8" s="210" t="s">
        <v>217</v>
      </c>
      <c r="D8" s="308">
        <f>720205/[1]FACTURACIÓN!$C$8</f>
        <v>1.120592811576163</v>
      </c>
      <c r="E8" s="308">
        <f>+[1]INGRESO!$D$8/[1]FACTURACIÓN!$D$8</f>
        <v>0.81177903195228307</v>
      </c>
      <c r="F8" s="308">
        <f>+[1]INGRESO!$E$8/[1]FACTURACIÓN!$E$8</f>
        <v>0.97902592008025491</v>
      </c>
      <c r="G8" s="308">
        <f>+[1]INGRESO!$F$8/[1]FACTURACIÓN!$F$8</f>
        <v>1.0086790366774023</v>
      </c>
      <c r="H8" s="308">
        <f>+[1]INGRESO!$F$8/[1]FACTURACIÓN!$F$8</f>
        <v>1.0086790366774023</v>
      </c>
      <c r="I8" s="308">
        <f>+[1]INGRESO!$G$8/[1]FACTURACIÓN!$G$8</f>
        <v>1.0070200829830618</v>
      </c>
      <c r="J8" s="308">
        <f>+[1]INGRESO!$H$8/[1]FACTURACIÓN!$H$8</f>
        <v>0.92732253560339273</v>
      </c>
      <c r="K8" s="308">
        <f>+[1]INGRESO!$I$8/[1]FACTURACIÓN!$I$8</f>
        <v>1.0943220624308596</v>
      </c>
      <c r="L8" s="308">
        <f>+[1]INGRESO!$J$8/[1]FACTURACIÓN!$J$8</f>
        <v>0.98542253736361141</v>
      </c>
      <c r="M8" s="308">
        <f>+[1]INGRESO!$K$8/[1]FACTURACIÓN!$K$8</f>
        <v>1.0077483241571277</v>
      </c>
      <c r="N8" s="308">
        <f>+[1]INGRESO!$K$8/[1]FACTURACIÓN!$K$8</f>
        <v>1.0077483241571277</v>
      </c>
      <c r="O8" s="308">
        <f>+[1]INGRESO!$M$8/[1]FACTURACIÓN!$M$8</f>
        <v>1.0944373966504863</v>
      </c>
      <c r="P8" s="308"/>
      <c r="Q8" s="308"/>
      <c r="R8" s="308"/>
    </row>
    <row r="9" spans="1:20" ht="15" customHeight="1" x14ac:dyDescent="0.2">
      <c r="A9" s="267" t="s">
        <v>18</v>
      </c>
      <c r="B9" s="209"/>
      <c r="C9" s="210" t="s">
        <v>218</v>
      </c>
      <c r="D9" s="211">
        <f>+D8*D7</f>
        <v>0.91711721022586368</v>
      </c>
      <c r="E9" s="211">
        <f>+E8*E7</f>
        <v>0.60179929675169452</v>
      </c>
      <c r="F9" s="211">
        <f t="shared" ref="F9:O9" si="0">+F8*F7</f>
        <v>0.66001217842432858</v>
      </c>
      <c r="G9" s="211">
        <f t="shared" si="0"/>
        <v>0.67252012662649796</v>
      </c>
      <c r="H9" s="211">
        <f t="shared" si="0"/>
        <v>0.66762398539589107</v>
      </c>
      <c r="I9" s="211">
        <f t="shared" si="0"/>
        <v>0.66652595793945546</v>
      </c>
      <c r="J9" s="211">
        <f t="shared" si="0"/>
        <v>0.78522691523773369</v>
      </c>
      <c r="K9" s="211">
        <f t="shared" si="0"/>
        <v>0.75550922555987932</v>
      </c>
      <c r="L9" s="211">
        <f t="shared" si="0"/>
        <v>0.64599934223809719</v>
      </c>
      <c r="M9" s="211">
        <f t="shared" si="0"/>
        <v>0.65218448883216018</v>
      </c>
      <c r="N9" s="211">
        <f t="shared" si="0"/>
        <v>0.72378106908878381</v>
      </c>
      <c r="O9" s="211">
        <f t="shared" si="0"/>
        <v>0.8022254199397002</v>
      </c>
      <c r="P9" s="211"/>
      <c r="Q9" s="229"/>
      <c r="R9" s="228"/>
      <c r="S9" s="17">
        <f>SUM(D9:R9)</f>
        <v>8.5505252162600858</v>
      </c>
      <c r="T9" s="18">
        <f>+S9/9</f>
        <v>0.95005835736223176</v>
      </c>
    </row>
    <row r="10" spans="1:20" x14ac:dyDescent="0.2">
      <c r="A10" s="267" t="s">
        <v>19</v>
      </c>
      <c r="B10" s="173" t="s">
        <v>20</v>
      </c>
      <c r="C10" s="212" t="s">
        <v>20</v>
      </c>
      <c r="D10" s="211">
        <f>5138/6011</f>
        <v>0.85476626185326898</v>
      </c>
      <c r="E10" s="211">
        <f>5138/6011</f>
        <v>0.85476626185326898</v>
      </c>
      <c r="F10" s="211">
        <f>5138/6011</f>
        <v>0.85476626185326898</v>
      </c>
      <c r="G10" s="211">
        <v>0.86</v>
      </c>
      <c r="H10" s="200"/>
      <c r="I10" s="211">
        <v>0.86</v>
      </c>
      <c r="J10" s="211">
        <v>0.86</v>
      </c>
      <c r="K10" s="211">
        <f>5355/6225</f>
        <v>0.8602409638554217</v>
      </c>
      <c r="L10" s="211">
        <f>5363/6225</f>
        <v>0.86152610441767064</v>
      </c>
      <c r="M10" s="211">
        <f>5376/6225</f>
        <v>0.86361445783132529</v>
      </c>
      <c r="N10" s="211">
        <f>+'[1]PADRON POR USO'!$M$29/'[1]PADRON POR USO'!$M$38</f>
        <v>0.87099887405501042</v>
      </c>
      <c r="O10" s="211">
        <f>+'[1]PADRON POR USO'!$M$29/'[1]PADRON POR USO'!$M$38</f>
        <v>0.87099887405501042</v>
      </c>
      <c r="P10" s="255"/>
      <c r="Q10" s="229"/>
      <c r="R10" s="228"/>
    </row>
    <row r="11" spans="1:20" x14ac:dyDescent="0.2">
      <c r="A11" s="268" t="s">
        <v>21</v>
      </c>
      <c r="B11" s="173" t="s">
        <v>22</v>
      </c>
      <c r="C11" s="212" t="s">
        <v>219</v>
      </c>
      <c r="D11" s="211">
        <f>3670/5173</f>
        <v>0.70945292866808429</v>
      </c>
      <c r="E11" s="211">
        <f>3670/5173</f>
        <v>0.70945292866808429</v>
      </c>
      <c r="F11" s="211">
        <f>3670/5173</f>
        <v>0.70945292866808429</v>
      </c>
      <c r="G11" s="211">
        <v>0.70945292866808429</v>
      </c>
      <c r="H11" s="200"/>
      <c r="I11" s="211">
        <v>0.70945292866808429</v>
      </c>
      <c r="J11" s="211">
        <v>0.70945292866808429</v>
      </c>
      <c r="K11" s="211">
        <f>3736/5355</f>
        <v>0.69766573295985057</v>
      </c>
      <c r="L11" s="211">
        <f>3739/5355</f>
        <v>0.69822595704948642</v>
      </c>
      <c r="M11" s="211">
        <f>3739/5355</f>
        <v>0.69822595704948642</v>
      </c>
      <c r="N11" s="211">
        <f>3744/5415</f>
        <v>0.69141274238227146</v>
      </c>
      <c r="O11" s="211">
        <f>3750/5415</f>
        <v>0.69252077562326875</v>
      </c>
      <c r="P11" s="255"/>
      <c r="Q11" s="229"/>
      <c r="R11" s="228"/>
    </row>
    <row r="12" spans="1:20" x14ac:dyDescent="0.2">
      <c r="A12" s="268" t="s">
        <v>236</v>
      </c>
      <c r="B12" s="173" t="s">
        <v>23</v>
      </c>
      <c r="C12" s="212" t="s">
        <v>220</v>
      </c>
      <c r="D12" s="213">
        <f>+(76628/22060*1000/31)</f>
        <v>112.05217442166526</v>
      </c>
      <c r="E12" s="213">
        <f>+(73620/22116*1000/28)</f>
        <v>118.88613285791799</v>
      </c>
      <c r="F12" s="213">
        <f>+(93473/22125*1000/31)</f>
        <v>136.28285037361033</v>
      </c>
      <c r="G12" s="213">
        <f>+(94732/22144*1000/30)</f>
        <v>142.59995183044319</v>
      </c>
      <c r="H12" s="213">
        <f t="shared" ref="H12" si="1">+(93473/22125*1000/31)</f>
        <v>136.28285037361033</v>
      </c>
      <c r="I12" s="213">
        <f>+(104655/22232*1000/30)</f>
        <v>156.91345807844547</v>
      </c>
      <c r="J12" s="213">
        <f>+(89074/22264*1000/30)</f>
        <v>133.36028266858304</v>
      </c>
      <c r="K12" s="213">
        <f>+(87474/22274*1000/31)</f>
        <v>126.68321520534573</v>
      </c>
      <c r="L12" s="213">
        <f>+(88801/22294*1000/31)</f>
        <v>128.48965583102066</v>
      </c>
      <c r="M12" s="213">
        <f>+(87297/22346*1000/30)</f>
        <v>130.22017363286494</v>
      </c>
      <c r="N12" s="213">
        <f>+(85924/22398*1000/31)</f>
        <v>123.74952832770207</v>
      </c>
      <c r="O12" s="213">
        <f>+(82233/22408*1000/30)</f>
        <v>122.32684755444484</v>
      </c>
      <c r="P12" s="256"/>
      <c r="Q12" s="229"/>
      <c r="R12" s="259"/>
    </row>
    <row r="13" spans="1:20" x14ac:dyDescent="0.2">
      <c r="A13" s="268" t="s">
        <v>24</v>
      </c>
      <c r="B13" s="173" t="s">
        <v>25</v>
      </c>
      <c r="C13" s="212" t="s">
        <v>221</v>
      </c>
      <c r="D13" s="211">
        <v>0.18157853526126222</v>
      </c>
      <c r="E13" s="216">
        <v>0.25866612333604999</v>
      </c>
      <c r="F13" s="216">
        <f>+'EXTRA - FACT'!E32</f>
        <v>0.32584810587014434</v>
      </c>
      <c r="G13" s="211">
        <f>+'EXTRA - FACT'!F32</f>
        <v>0.33326647806443443</v>
      </c>
      <c r="H13" s="200"/>
      <c r="I13" s="211">
        <f>+'EXTRA - FACT'!G32</f>
        <v>0.33812049113754716</v>
      </c>
      <c r="J13" s="211">
        <f>+'EXTRA - FACT'!H32</f>
        <v>0.15323214405999508</v>
      </c>
      <c r="K13" s="211">
        <f>+'EXTRA - FACT'!I32</f>
        <v>0.30960980181498154</v>
      </c>
      <c r="L13" s="211">
        <f>+'EXTRA - FACT'!J32</f>
        <v>0.34444431932072839</v>
      </c>
      <c r="M13" s="211">
        <f>+'EXTRA - FACT'!K32</f>
        <v>0.35282999415787486</v>
      </c>
      <c r="N13" s="211">
        <f>+'EXTRA - FACT'!L32</f>
        <v>0.2817839020529771</v>
      </c>
      <c r="O13" s="211">
        <f>+'EXTRA - FACT'!M32</f>
        <v>0.26699743412012211</v>
      </c>
      <c r="P13" s="254"/>
      <c r="Q13" s="229"/>
      <c r="R13" s="228"/>
    </row>
    <row r="14" spans="1:20" ht="14.25" customHeight="1" x14ac:dyDescent="0.2">
      <c r="A14" s="268" t="s">
        <v>26</v>
      </c>
      <c r="B14" s="214" t="s">
        <v>27</v>
      </c>
      <c r="C14" s="215" t="s">
        <v>222</v>
      </c>
      <c r="D14" s="211">
        <f>+(6/7)</f>
        <v>0.8571428571428571</v>
      </c>
      <c r="E14" s="211">
        <f>+(6/7)</f>
        <v>0.8571428571428571</v>
      </c>
      <c r="F14" s="211">
        <f t="shared" ref="F14:O14" si="2">+(6/7)</f>
        <v>0.8571428571428571</v>
      </c>
      <c r="G14" s="211">
        <f t="shared" si="2"/>
        <v>0.8571428571428571</v>
      </c>
      <c r="H14" s="211">
        <f t="shared" si="2"/>
        <v>0.8571428571428571</v>
      </c>
      <c r="I14" s="211">
        <f t="shared" si="2"/>
        <v>0.8571428571428571</v>
      </c>
      <c r="J14" s="211">
        <f t="shared" si="2"/>
        <v>0.8571428571428571</v>
      </c>
      <c r="K14" s="211">
        <f t="shared" si="2"/>
        <v>0.8571428571428571</v>
      </c>
      <c r="L14" s="211">
        <f t="shared" si="2"/>
        <v>0.8571428571428571</v>
      </c>
      <c r="M14" s="211">
        <f t="shared" si="2"/>
        <v>0.8571428571428571</v>
      </c>
      <c r="N14" s="211">
        <f t="shared" si="2"/>
        <v>0.8571428571428571</v>
      </c>
      <c r="O14" s="211">
        <f t="shared" si="2"/>
        <v>0.8571428571428571</v>
      </c>
      <c r="P14" s="255"/>
      <c r="Q14" s="229"/>
      <c r="R14" s="228"/>
    </row>
    <row r="15" spans="1:20" ht="20.25" customHeight="1" x14ac:dyDescent="0.2">
      <c r="A15" s="268" t="s">
        <v>28</v>
      </c>
      <c r="B15" s="214" t="s">
        <v>29</v>
      </c>
      <c r="C15" s="215" t="s">
        <v>223</v>
      </c>
      <c r="D15" s="211">
        <f>5010/5173</f>
        <v>0.96849023777305243</v>
      </c>
      <c r="E15" s="211">
        <f>5010/5173</f>
        <v>0.96849023777305243</v>
      </c>
      <c r="F15" s="216">
        <v>0.96849023777305243</v>
      </c>
      <c r="G15" s="216">
        <v>0.96849023777305243</v>
      </c>
      <c r="H15" s="200"/>
      <c r="I15" s="211">
        <v>0.96849023777305243</v>
      </c>
      <c r="J15" s="211">
        <v>0.96849023777305243</v>
      </c>
      <c r="K15" s="211">
        <v>0.96849023777305243</v>
      </c>
      <c r="L15" s="211">
        <v>0.97</v>
      </c>
      <c r="M15" s="211">
        <f>4511/4529</f>
        <v>0.99602561271803935</v>
      </c>
      <c r="N15" s="211">
        <f>5100/5415</f>
        <v>0.94182825484764543</v>
      </c>
      <c r="O15" s="211">
        <f>5105/5425</f>
        <v>0.94101382488479257</v>
      </c>
      <c r="P15" s="255"/>
      <c r="Q15" s="229"/>
      <c r="R15" s="228"/>
    </row>
    <row r="16" spans="1:20" ht="19.5" customHeight="1" x14ac:dyDescent="0.2">
      <c r="A16" s="268" t="s">
        <v>30</v>
      </c>
      <c r="B16" s="214" t="s">
        <v>31</v>
      </c>
      <c r="C16" s="215" t="s">
        <v>224</v>
      </c>
      <c r="D16" s="213">
        <f>+[1]INGRESO!$C$8/'EXTRACC. POZOS'!F31</f>
        <v>16.12954794592055</v>
      </c>
      <c r="E16" s="213">
        <f>+[1]INGRESO!$C$8/'EXTRACC. POZOS'!G31</f>
        <v>16.788576473784296</v>
      </c>
      <c r="F16" s="213">
        <f>+[1]INGRESO!$C$8/'EXTRACC. POZOS'!H31</f>
        <v>13.222802306548415</v>
      </c>
      <c r="G16" s="213">
        <f>+[1]INGRESO!$C$8/'EXTRACC. POZOS'!I31</f>
        <v>13.047069628003209</v>
      </c>
      <c r="H16" s="213">
        <f>+[1]INGRESO!$C$8/'EXTRACC. POZOS'!J31</f>
        <v>11.809994744637141</v>
      </c>
      <c r="I16" s="213">
        <f>+[1]INGRESO!$G$8/'EXTRACC. POZOS'!J31</f>
        <v>8.5365916583058628</v>
      </c>
      <c r="J16" s="213">
        <f>+[1]INGRESO!$G$8/'EXTRACC. POZOS'!K31</f>
        <v>10.029829130835036</v>
      </c>
      <c r="K16" s="213">
        <f>+[1]INGRESO!$G$8/'EXTRACC. POZOS'!L31</f>
        <v>10.210951608110271</v>
      </c>
      <c r="L16" s="213">
        <f>+[1]INGRESO!$G$8/'EXTRACC. POZOS'!M31</f>
        <v>10.060663731264288</v>
      </c>
      <c r="M16" s="213">
        <f>+[1]INGRESO!$G$8/'EXTRACC. POZOS'!N31</f>
        <v>10.233994295336609</v>
      </c>
      <c r="N16" s="213">
        <f>+[1]INGRESO!$G$8/'EXTRACC. POZOS'!O31</f>
        <v>10.397525720404078</v>
      </c>
      <c r="O16" s="213">
        <f>+[1]INGRESO!$G$8/'EXTRACC. POZOS'!P31</f>
        <v>10.864215096129291</v>
      </c>
      <c r="P16" s="257"/>
      <c r="Q16" s="229"/>
      <c r="R16" s="259"/>
    </row>
    <row r="17" spans="1:18" ht="17.25" customHeight="1" x14ac:dyDescent="0.2">
      <c r="A17" s="268" t="s">
        <v>33</v>
      </c>
      <c r="B17" s="214"/>
      <c r="C17" s="215" t="s">
        <v>237</v>
      </c>
      <c r="D17" s="213">
        <f>+( 38/(6172/1000))</f>
        <v>6.1568373298768639</v>
      </c>
      <c r="E17" s="213">
        <f>+( 38/(6172/1000))</f>
        <v>6.1568373298768639</v>
      </c>
      <c r="F17" s="213">
        <v>6.1568373298768639</v>
      </c>
      <c r="G17" s="213">
        <f>+( 40/(6201/1000))</f>
        <v>6.450572488308338</v>
      </c>
      <c r="H17" s="200"/>
      <c r="I17" s="213">
        <v>6.450572488308338</v>
      </c>
      <c r="J17" s="213">
        <v>6.450572488308338</v>
      </c>
      <c r="K17" s="213">
        <v>6.450572488308338</v>
      </c>
      <c r="L17" s="213">
        <f>+( 40/(6231/1000))</f>
        <v>6.4195153265928422</v>
      </c>
      <c r="M17" s="213">
        <f>+( 40/(6231/1000))</f>
        <v>6.4195153265928422</v>
      </c>
      <c r="N17" s="213">
        <f>+( 40/(6217/1000))</f>
        <v>6.4339713688274092</v>
      </c>
      <c r="O17" s="213">
        <f>+( 40/(6227/1000))</f>
        <v>6.4236389914886782</v>
      </c>
      <c r="P17" s="256"/>
      <c r="Q17" s="229"/>
      <c r="R17" s="229"/>
    </row>
    <row r="18" spans="1:18" x14ac:dyDescent="0.2">
      <c r="A18" s="268" t="s">
        <v>34</v>
      </c>
      <c r="B18" s="214"/>
      <c r="C18" s="215"/>
      <c r="D18" s="200">
        <v>0</v>
      </c>
      <c r="E18" s="200">
        <v>0</v>
      </c>
      <c r="F18" s="200">
        <v>0</v>
      </c>
      <c r="G18" s="200">
        <v>0</v>
      </c>
      <c r="H18" s="200"/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87"/>
      <c r="Q18" s="229"/>
      <c r="R18" s="286"/>
    </row>
    <row r="19" spans="1:18" s="362" customFormat="1" ht="17.25" customHeight="1" x14ac:dyDescent="0.2">
      <c r="A19" s="355" t="s">
        <v>35</v>
      </c>
      <c r="B19" s="356" t="s">
        <v>36</v>
      </c>
      <c r="C19" s="357" t="s">
        <v>36</v>
      </c>
      <c r="D19" s="358">
        <v>1</v>
      </c>
      <c r="E19" s="358">
        <v>1</v>
      </c>
      <c r="F19" s="358">
        <v>1</v>
      </c>
      <c r="G19" s="358">
        <v>0.9</v>
      </c>
      <c r="H19" s="351"/>
      <c r="I19" s="358">
        <v>0.86</v>
      </c>
      <c r="J19" s="358">
        <v>0.9</v>
      </c>
      <c r="K19" s="359">
        <v>0.97</v>
      </c>
      <c r="L19" s="359">
        <v>0.98818897637795278</v>
      </c>
      <c r="M19" s="359">
        <f>80/84</f>
        <v>0.95238095238095233</v>
      </c>
      <c r="N19" s="359">
        <f>59/62</f>
        <v>0.95161290322580649</v>
      </c>
      <c r="O19" s="359">
        <f>59/62</f>
        <v>0.95161290322580649</v>
      </c>
      <c r="P19" s="360"/>
      <c r="Q19" s="361"/>
      <c r="R19" s="359"/>
    </row>
    <row r="20" spans="1:18" ht="21.75" customHeight="1" x14ac:dyDescent="0.2">
      <c r="A20" s="268" t="s">
        <v>37</v>
      </c>
      <c r="B20" s="214" t="s">
        <v>38</v>
      </c>
      <c r="C20" s="215" t="s">
        <v>225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86"/>
      <c r="O20" s="286"/>
      <c r="P20" s="287"/>
      <c r="Q20" s="229"/>
      <c r="R20" s="286"/>
    </row>
    <row r="21" spans="1:18" x14ac:dyDescent="0.2">
      <c r="A21" s="268" t="s">
        <v>39</v>
      </c>
      <c r="B21" s="217"/>
      <c r="C21" s="218"/>
      <c r="D21" s="211">
        <v>0.87157572471856359</v>
      </c>
      <c r="E21" s="211">
        <v>0.86838778239917913</v>
      </c>
      <c r="F21" s="211">
        <v>0.87933851504329763</v>
      </c>
      <c r="G21" s="211">
        <v>0.85403389068006297</v>
      </c>
      <c r="H21" s="200"/>
      <c r="I21" s="211">
        <v>0.88713565953023721</v>
      </c>
      <c r="J21" s="211">
        <v>0.87923641625403226</v>
      </c>
      <c r="K21" s="211">
        <v>0.88199593822320876</v>
      </c>
      <c r="L21" s="211">
        <v>0.87293434569004025</v>
      </c>
      <c r="M21" s="211">
        <v>0.84170560747663548</v>
      </c>
      <c r="N21" s="228">
        <v>0.85318900700025924</v>
      </c>
      <c r="O21" s="228">
        <v>0.85037410620966536</v>
      </c>
      <c r="P21" s="254"/>
      <c r="Q21" s="229"/>
      <c r="R21" s="228"/>
    </row>
    <row r="22" spans="1:18" x14ac:dyDescent="0.2">
      <c r="A22" s="268" t="s">
        <v>40</v>
      </c>
      <c r="B22" s="214"/>
      <c r="C22" s="215"/>
      <c r="D22" s="211">
        <v>5.145581528845234E-2</v>
      </c>
      <c r="E22" s="211">
        <v>3.4061967495465126E-2</v>
      </c>
      <c r="F22" s="211">
        <v>4.081180122773849E-2</v>
      </c>
      <c r="G22" s="211">
        <v>3.7077303741471099E-2</v>
      </c>
      <c r="H22" s="200"/>
      <c r="I22" s="211">
        <v>3.5573058208979512E-2</v>
      </c>
      <c r="J22" s="211">
        <v>3.2816046940753227E-2</v>
      </c>
      <c r="K22" s="211">
        <v>4.2896613611675245E-2</v>
      </c>
      <c r="L22" s="211">
        <v>3.4063970866114679E-2</v>
      </c>
      <c r="M22" s="211">
        <v>3.8586802605494193E-2</v>
      </c>
      <c r="N22" s="228">
        <v>3.2894736842105261E-2</v>
      </c>
      <c r="O22" s="228">
        <v>3.8372845363903313E-2</v>
      </c>
      <c r="P22" s="254"/>
      <c r="Q22" s="229"/>
      <c r="R22" s="228"/>
    </row>
    <row r="23" spans="1:18" x14ac:dyDescent="0.2">
      <c r="A23" s="268" t="s">
        <v>41</v>
      </c>
      <c r="B23" s="214"/>
      <c r="C23" s="215"/>
      <c r="D23" s="211">
        <v>1.2596868322862519E-2</v>
      </c>
      <c r="E23" s="211">
        <v>1.592245817835352E-2</v>
      </c>
      <c r="F23" s="211">
        <v>1.024671474920057E-2</v>
      </c>
      <c r="G23" s="211">
        <v>1.6982829721826499E-2</v>
      </c>
      <c r="H23" s="200"/>
      <c r="I23" s="211">
        <v>1.3929797725016679E-2</v>
      </c>
      <c r="J23" s="211">
        <v>1.4615884984534509E-2</v>
      </c>
      <c r="K23" s="211">
        <v>1.0910121381004109E-2</v>
      </c>
      <c r="L23" s="211">
        <v>1.7349778403820387E-2</v>
      </c>
      <c r="M23" s="211">
        <v>1.9204899461908807E-2</v>
      </c>
      <c r="N23" s="228">
        <v>1.6965906144672024E-2</v>
      </c>
      <c r="O23" s="228">
        <v>1.6623255968279776E-2</v>
      </c>
      <c r="P23" s="254"/>
      <c r="Q23" s="229"/>
      <c r="R23" s="228"/>
    </row>
    <row r="24" spans="1:18" x14ac:dyDescent="0.2">
      <c r="A24" s="269" t="s">
        <v>42</v>
      </c>
      <c r="B24" s="219"/>
      <c r="C24" s="220"/>
      <c r="D24" s="211">
        <v>6.4371591670121506E-2</v>
      </c>
      <c r="E24" s="211">
        <v>6.042838558367078E-2</v>
      </c>
      <c r="F24" s="211">
        <v>5.4594682912027633E-2</v>
      </c>
      <c r="G24" s="211">
        <v>6.8231236409987253E-2</v>
      </c>
      <c r="H24" s="200"/>
      <c r="I24" s="211">
        <v>5.2693123908241782E-2</v>
      </c>
      <c r="J24" s="211">
        <v>5.6790877351352069E-2</v>
      </c>
      <c r="K24" s="211">
        <v>5.0772209889954185E-2</v>
      </c>
      <c r="L24" s="211">
        <v>5.9109492561926685E-2</v>
      </c>
      <c r="M24" s="211">
        <v>7.2500708014726703E-2</v>
      </c>
      <c r="N24" s="228">
        <v>6.3520871143375679E-2</v>
      </c>
      <c r="O24" s="228">
        <v>6.7073676526701723E-2</v>
      </c>
      <c r="P24" s="254"/>
      <c r="Q24" s="229"/>
      <c r="R24" s="228"/>
    </row>
    <row r="25" spans="1:18" x14ac:dyDescent="0.2">
      <c r="A25" s="270" t="s">
        <v>43</v>
      </c>
      <c r="B25" s="221"/>
      <c r="C25" s="222"/>
      <c r="D25" s="211">
        <v>3.0296265586631376E-3</v>
      </c>
      <c r="E25" s="211">
        <v>2.119940634333144E-2</v>
      </c>
      <c r="F25" s="211">
        <v>1.5008286067735686E-2</v>
      </c>
      <c r="G25" s="211">
        <v>2.367473944665217E-2</v>
      </c>
      <c r="H25" s="200"/>
      <c r="I25" s="211">
        <v>1.6255467813885E-2</v>
      </c>
      <c r="J25" s="211">
        <v>1.6540774469327883E-2</v>
      </c>
      <c r="K25" s="211">
        <v>1.3425116894157653E-2</v>
      </c>
      <c r="L25" s="211">
        <v>1.6542412478098054E-2</v>
      </c>
      <c r="M25" s="211">
        <v>2.8001982441234776E-2</v>
      </c>
      <c r="N25" s="228">
        <v>3.3429478869587761E-2</v>
      </c>
      <c r="O25" s="228">
        <v>2.7556115931449805E-2</v>
      </c>
      <c r="P25" s="254"/>
      <c r="Q25" s="229"/>
      <c r="R25" s="228"/>
    </row>
    <row r="26" spans="1:18" x14ac:dyDescent="0.2">
      <c r="A26" s="271" t="s">
        <v>49</v>
      </c>
      <c r="B26" s="208"/>
      <c r="C26" s="223" t="s">
        <v>226</v>
      </c>
      <c r="D26" s="213">
        <f>+SIOO17!AC119/'EXTRACC. POZOS'!F31</f>
        <v>19.603330375319725</v>
      </c>
      <c r="E26" s="213">
        <f>+SIOO17!AD119/'EXTRACC. POZOS'!G31</f>
        <v>13.123471882640587</v>
      </c>
      <c r="F26" s="213">
        <f>+SIOO17!AE119/'EXTRACC. POZOS'!H31</f>
        <v>10.72873450087191</v>
      </c>
      <c r="G26" s="213">
        <f>+SIOO17!AF119/'EXTRACC. POZOS'!I31</f>
        <v>10.809378034877339</v>
      </c>
      <c r="H26" s="213">
        <f>+SIOO17!AG119/'EXTRACC. POZOS'!J31</f>
        <v>10.128823276479862</v>
      </c>
      <c r="I26" s="213">
        <f>+SIOO17!AG119/'EXTRACC. POZOS'!J31</f>
        <v>10.128823276479862</v>
      </c>
      <c r="J26" s="213">
        <f>+SIOO17!AH119/'EXTRACC. POZOS'!K31</f>
        <v>11.483508094393425</v>
      </c>
      <c r="K26" s="213">
        <f>+SIOO17!AI119/'EXTRACC. POZOS'!L31</f>
        <v>11.610419000160011</v>
      </c>
      <c r="L26" s="213">
        <f>+SIOO17!AJ119/'EXTRACC. POZOS'!M31</f>
        <v>13.285594306370424</v>
      </c>
      <c r="M26" s="213">
        <f>+SIOO17!AK119/'EXTRACC. POZOS'!N31</f>
        <v>12.332577293606882</v>
      </c>
      <c r="N26" s="213">
        <f>+SIOO17!AL119/'EXTRACC. POZOS'!O31</f>
        <v>12.579814719985103</v>
      </c>
      <c r="O26" s="213">
        <f>+SIOO17!AM119/'EXTRACC. POZOS'!P31</f>
        <v>12.285286928605304</v>
      </c>
      <c r="P26" s="257"/>
      <c r="Q26" s="229"/>
      <c r="R26" s="229"/>
    </row>
    <row r="27" spans="1:18" ht="20.25" customHeight="1" x14ac:dyDescent="0.2">
      <c r="A27" s="270" t="s">
        <v>44</v>
      </c>
      <c r="B27" s="221"/>
      <c r="C27" s="222" t="s">
        <v>227</v>
      </c>
      <c r="D27" s="211">
        <f>316/6168</f>
        <v>5.1232166018158234E-2</v>
      </c>
      <c r="E27" s="211">
        <f>91/6182</f>
        <v>1.4720155289550308E-2</v>
      </c>
      <c r="F27" s="200">
        <v>0</v>
      </c>
      <c r="G27" s="200">
        <v>0</v>
      </c>
      <c r="H27" s="200"/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86">
        <v>0</v>
      </c>
      <c r="O27" s="403">
        <v>0</v>
      </c>
      <c r="P27" s="287"/>
      <c r="Q27" s="229"/>
      <c r="R27" s="228"/>
    </row>
    <row r="28" spans="1:18" x14ac:dyDescent="0.2">
      <c r="A28" s="272" t="s">
        <v>45</v>
      </c>
      <c r="B28" s="200"/>
      <c r="C28" s="212" t="s">
        <v>228</v>
      </c>
      <c r="D28" s="333">
        <v>0.53</v>
      </c>
      <c r="E28" s="333">
        <v>0.54</v>
      </c>
      <c r="F28" s="333">
        <v>0.54</v>
      </c>
      <c r="G28" s="333">
        <v>0.54</v>
      </c>
      <c r="H28" s="333">
        <v>0.54</v>
      </c>
      <c r="I28" s="333">
        <v>0.54</v>
      </c>
      <c r="J28" s="341">
        <v>0.42499999999999999</v>
      </c>
      <c r="K28" s="341">
        <v>0.42499999999999999</v>
      </c>
      <c r="L28" s="341">
        <v>0.42499999999999999</v>
      </c>
      <c r="M28" s="341">
        <v>0.42499999999999999</v>
      </c>
      <c r="N28" s="211">
        <v>0.42499999999999999</v>
      </c>
      <c r="O28" s="211">
        <v>0.42499999999999999</v>
      </c>
      <c r="P28" s="255"/>
      <c r="Q28" s="229"/>
      <c r="R28" s="228"/>
    </row>
    <row r="29" spans="1:18" x14ac:dyDescent="0.2">
      <c r="A29" s="272" t="s">
        <v>46</v>
      </c>
      <c r="B29" s="200"/>
      <c r="C29" s="212" t="s">
        <v>231</v>
      </c>
      <c r="D29" s="333">
        <v>0.23</v>
      </c>
      <c r="E29" s="333">
        <v>0.23</v>
      </c>
      <c r="F29" s="333">
        <v>0.23</v>
      </c>
      <c r="G29" s="333">
        <v>0.23</v>
      </c>
      <c r="H29" s="333">
        <v>0.23</v>
      </c>
      <c r="I29" s="333">
        <v>0.23</v>
      </c>
      <c r="J29" s="341">
        <v>0.3</v>
      </c>
      <c r="K29" s="341">
        <v>0.3</v>
      </c>
      <c r="L29" s="341">
        <v>0.3</v>
      </c>
      <c r="M29" s="341">
        <v>0.3</v>
      </c>
      <c r="N29" s="211">
        <v>0.3</v>
      </c>
      <c r="O29" s="211">
        <v>0.3</v>
      </c>
      <c r="P29" s="255"/>
      <c r="Q29" s="229"/>
      <c r="R29" s="228"/>
    </row>
    <row r="30" spans="1:18" x14ac:dyDescent="0.2">
      <c r="A30" s="272" t="s">
        <v>48</v>
      </c>
      <c r="B30" s="200"/>
      <c r="C30" s="212" t="s">
        <v>230</v>
      </c>
      <c r="D30" s="333">
        <v>7.0000000000000007E-2</v>
      </c>
      <c r="E30" s="333">
        <v>7.0000000000000007E-2</v>
      </c>
      <c r="F30" s="333">
        <v>7.0000000000000007E-2</v>
      </c>
      <c r="G30" s="333">
        <v>7.0000000000000007E-2</v>
      </c>
      <c r="H30" s="333">
        <v>7.0000000000000007E-2</v>
      </c>
      <c r="I30" s="333">
        <v>7.0000000000000007E-2</v>
      </c>
      <c r="J30" s="341">
        <v>0.15</v>
      </c>
      <c r="K30" s="341">
        <v>0.15</v>
      </c>
      <c r="L30" s="341">
        <v>0.15</v>
      </c>
      <c r="M30" s="341">
        <v>0.15</v>
      </c>
      <c r="N30" s="211">
        <v>0.15</v>
      </c>
      <c r="O30" s="211">
        <v>0.15</v>
      </c>
      <c r="P30" s="255"/>
      <c r="Q30" s="229"/>
      <c r="R30" s="228"/>
    </row>
    <row r="31" spans="1:18" x14ac:dyDescent="0.2">
      <c r="A31" s="272" t="s">
        <v>47</v>
      </c>
      <c r="B31" s="200"/>
      <c r="C31" s="212" t="s">
        <v>229</v>
      </c>
      <c r="D31" s="333">
        <v>0.15</v>
      </c>
      <c r="E31" s="333">
        <v>0.15</v>
      </c>
      <c r="F31" s="333">
        <v>0.15</v>
      </c>
      <c r="G31" s="333">
        <v>0.15</v>
      </c>
      <c r="H31" s="333">
        <v>0.15</v>
      </c>
      <c r="I31" s="333">
        <v>0.15</v>
      </c>
      <c r="J31" s="341">
        <v>7.4999999999999997E-2</v>
      </c>
      <c r="K31" s="341">
        <v>7.4999999999999997E-2</v>
      </c>
      <c r="L31" s="341">
        <v>7.4999999999999997E-2</v>
      </c>
      <c r="M31" s="341">
        <v>7.4999999999999997E-2</v>
      </c>
      <c r="N31" s="228">
        <v>7.4999999999999997E-2</v>
      </c>
      <c r="O31" s="228">
        <v>7.4999999999999997E-2</v>
      </c>
      <c r="P31" s="254"/>
      <c r="Q31" s="229"/>
      <c r="R31" s="228"/>
    </row>
    <row r="32" spans="1:18" x14ac:dyDescent="0.2">
      <c r="A32" s="272" t="s">
        <v>211</v>
      </c>
      <c r="B32" s="200"/>
      <c r="C32" s="212" t="s">
        <v>232</v>
      </c>
      <c r="D32" s="211">
        <f>+SIOO17!AC136/SIOO17!AC119</f>
        <v>0.59006519261545343</v>
      </c>
      <c r="E32" s="211">
        <f>+SIOO17!AD136/SIOO17!AD119</f>
        <v>1.3177974641618797</v>
      </c>
      <c r="F32" s="211">
        <f>+SIOO17!AE136/SIOO17!AE119</f>
        <v>0.74378955114788192</v>
      </c>
      <c r="G32" s="211">
        <f>+SIOO17!AF136/SIOO17!AF119</f>
        <v>1.2118286142301615</v>
      </c>
      <c r="H32" s="211">
        <f>+SIOO17!AG136/SIOO17!AG119</f>
        <v>1.0767283534836685</v>
      </c>
      <c r="I32" s="211">
        <f>+SIOO17!AG136/SIOO17!AG119</f>
        <v>1.0767283534836685</v>
      </c>
      <c r="J32" s="211">
        <f>+SIOO17!AH136/SIOO17!AH119</f>
        <v>1.7078434755915151</v>
      </c>
      <c r="K32" s="211">
        <f>+SIOO17!AI136/SIOO17!AI119</f>
        <v>1.1847603958095847</v>
      </c>
      <c r="L32" s="211">
        <f>+SIOO17!AJ136/SIOO17!AJ119</f>
        <v>1.1998346446098331</v>
      </c>
      <c r="M32" s="211">
        <f>+SIOO17!AK136/SIOO17!AK119</f>
        <v>0.81928495063612472</v>
      </c>
      <c r="N32" s="211">
        <f>+SIOO17!AL136/SIOO17!AL119</f>
        <v>1.1375490421016405</v>
      </c>
      <c r="O32" s="211">
        <f>+SIOO17!AM136/SIOO17!AM119</f>
        <v>1.1751989594716588</v>
      </c>
      <c r="P32" s="255"/>
      <c r="Q32" s="229"/>
      <c r="R32" s="228"/>
    </row>
    <row r="33" spans="1:18" x14ac:dyDescent="0.2">
      <c r="A33" s="272" t="s">
        <v>212</v>
      </c>
      <c r="B33" s="200"/>
      <c r="C33" s="212" t="s">
        <v>233</v>
      </c>
      <c r="D33" s="211">
        <f>+SIOO17!AC146/SIOO17!AC136</f>
        <v>0.35963346381201389</v>
      </c>
      <c r="E33" s="211">
        <f>+SIOO17!AD146/SIOO17!AD136</f>
        <v>0.27971109921204063</v>
      </c>
      <c r="F33" s="211">
        <f>+SIOO17!AE146/SIOO17!AE136</f>
        <v>0.24034544676286237</v>
      </c>
      <c r="G33" s="211">
        <f>+SIOO17!AF146/SIOO17!AF136</f>
        <v>0.28759116439536647</v>
      </c>
      <c r="H33" s="211">
        <f>+SIOO17!AG146/SIOO17!AG136</f>
        <v>0.1753680331833111</v>
      </c>
      <c r="I33" s="211">
        <f>+SIOO17!AG146/SIOO17!AG136</f>
        <v>0.1753680331833111</v>
      </c>
      <c r="J33" s="211">
        <f>+SIOO17!AH146/SIOO17!AH136</f>
        <v>0.10606571036199748</v>
      </c>
      <c r="K33" s="211">
        <f>+SIOO17!AI146/SIOO17!AI136</f>
        <v>0.21031201756214721</v>
      </c>
      <c r="L33" s="211">
        <f>+SIOO17!AJ146/SIOO17!AJ136</f>
        <v>0.19632663095947711</v>
      </c>
      <c r="M33" s="211">
        <f>+SIOO17!AK146/SIOO17!AK136</f>
        <v>0.42878157459847727</v>
      </c>
      <c r="N33" s="211">
        <f>+SIOO17!AL146/SIOO17!AL136</f>
        <v>0.28445463743377791</v>
      </c>
      <c r="O33" s="211">
        <f>+SIOO17!AM146/SIOO17!AM136</f>
        <v>0.3234700339051918</v>
      </c>
      <c r="P33" s="255"/>
      <c r="Q33" s="229"/>
      <c r="R33" s="228"/>
    </row>
    <row r="34" spans="1:18" x14ac:dyDescent="0.2">
      <c r="A34" s="272" t="s">
        <v>213</v>
      </c>
      <c r="B34" s="200"/>
      <c r="C34" s="212" t="s">
        <v>239</v>
      </c>
      <c r="D34" s="334">
        <f>+SIOO17!AC136/'EXTRACC. POZOS'!F31</f>
        <v>11.567242913817402</v>
      </c>
      <c r="E34" s="334">
        <f>+SIOO17!AD136/'EXTRACC. POZOS'!G31</f>
        <v>17.294077967943494</v>
      </c>
      <c r="F34" s="334">
        <f>+SIOO17!AE136/'EXTRACC. POZOS'!H31</f>
        <v>7.9799206187883129</v>
      </c>
      <c r="G34" s="334">
        <f>+SIOO17!AF136/'EXTRACC. POZOS'!I31</f>
        <v>13.099113604695351</v>
      </c>
      <c r="H34" s="334">
        <f>+SIOO17!AG136/'EXTRACC. POZOS'!J31</f>
        <v>10.905991209211217</v>
      </c>
      <c r="I34" s="334">
        <f>+SIOO17!AG136/'EXTRACC. POZOS'!J31</f>
        <v>10.905991209211217</v>
      </c>
      <c r="J34" s="334">
        <f>+SIOO17!AH136/'EXTRACC. POZOS'!K31</f>
        <v>19.612034375912163</v>
      </c>
      <c r="K34" s="334">
        <f>+SIOO17!AI136/'EXTRACC. POZOS'!L31</f>
        <v>13.755564610144697</v>
      </c>
      <c r="L34" s="334">
        <f>+SIOO17!AJ136/'EXTRACC. POZOS'!M31</f>
        <v>15.94051632301438</v>
      </c>
      <c r="M34" s="334">
        <f>+SIOO17!AK136/'EXTRACC. POZOS'!N31</f>
        <v>10.103894979208906</v>
      </c>
      <c r="N34" s="334">
        <f>+SIOO17!AL136/'EXTRACC. POZOS'!O31</f>
        <v>14.310156184535172</v>
      </c>
      <c r="O34" s="334">
        <f>+SIOO17!AM136/'EXTRACC. POZOS'!P31</f>
        <v>14.437656415307723</v>
      </c>
      <c r="P34" s="256"/>
      <c r="Q34" s="229"/>
      <c r="R34" s="259"/>
    </row>
    <row r="35" spans="1:18" x14ac:dyDescent="0.2">
      <c r="A35" s="272" t="s">
        <v>214</v>
      </c>
      <c r="B35" s="200"/>
      <c r="C35" s="212" t="s">
        <v>234</v>
      </c>
      <c r="D35" s="211">
        <f>+SIOO17!AC143/SIOO17!AC136</f>
        <v>0.23924645231013988</v>
      </c>
      <c r="E35" s="211">
        <f>+SIOO17!AD143/SIOO17!AD136</f>
        <v>0.1970491411800416</v>
      </c>
      <c r="F35" s="211">
        <f>+SIOO17!AE143/SIOO17!AE136</f>
        <v>0.31562138728478689</v>
      </c>
      <c r="G35" s="211">
        <f>+SIOO17!AF143/SIOO17!AF136</f>
        <v>0.25736131356300274</v>
      </c>
      <c r="H35" s="211">
        <f>+SIOO17!AG143/SIOO17!AG136</f>
        <v>0.24080783656426014</v>
      </c>
      <c r="I35" s="211">
        <f>+SIOO17!AG143/SIOO17!AG136</f>
        <v>0.24080783656426014</v>
      </c>
      <c r="J35" s="211">
        <f>+SIOO17!AH143/SIOO17!AH136</f>
        <v>0.16891306015977184</v>
      </c>
      <c r="K35" s="211">
        <f>+SIOO17!AI143/SIOO17!AI136</f>
        <v>0.27043959882757157</v>
      </c>
      <c r="L35" s="211">
        <f>+SIOO17!AJ143/SIOO17!AJ136</f>
        <v>0.28673423613575483</v>
      </c>
      <c r="M35" s="211">
        <f>+SIOO17!AK143/SIOO17!AK136</f>
        <v>0.37636286946352032</v>
      </c>
      <c r="N35" s="211">
        <f>+SIOO17!AL143/SIOO17!AL136</f>
        <v>0.35385003532815512</v>
      </c>
      <c r="O35" s="211">
        <f>+SIOO17!AM143/SIOO17!AM136</f>
        <v>0.29571822927537361</v>
      </c>
      <c r="P35" s="255"/>
      <c r="Q35" s="229"/>
      <c r="R35" s="228"/>
    </row>
    <row r="36" spans="1:18" x14ac:dyDescent="0.2">
      <c r="A36" s="272" t="s">
        <v>215</v>
      </c>
      <c r="B36" s="200"/>
      <c r="C36" s="212" t="s">
        <v>235</v>
      </c>
      <c r="D36" s="213">
        <f>+SIOO17!AC143/'EXTRACC. POZOS'!F31</f>
        <v>2.7674218301404188</v>
      </c>
      <c r="E36" s="213">
        <f>+SIOO17!AD143/'EXTRACC. POZOS'!G31</f>
        <v>3.4077832110839448</v>
      </c>
      <c r="F36" s="213">
        <f>+SIOO17!AE143/'EXTRACC. POZOS'!H31</f>
        <v>2.518633616124442</v>
      </c>
      <c r="G36" s="213">
        <f>+SIOO17!AF143/'EXTRACC. POZOS'!I31</f>
        <v>3.3712050838153949</v>
      </c>
      <c r="H36" s="213">
        <f>+SIOO17!AG143/'EXTRACC. POZOS'!J31</f>
        <v>2.626248148678993</v>
      </c>
      <c r="I36" s="213">
        <f>+SIOO17!AG143/'EXTRACC. POZOS'!J31</f>
        <v>2.626248148678993</v>
      </c>
      <c r="J36" s="213">
        <f>+SIOO17!AH143/'EXTRACC. POZOS'!K31</f>
        <v>3.3127287423939644</v>
      </c>
      <c r="K36" s="213">
        <f>+SIOO17!AI143/'EXTRACC. POZOS'!L31</f>
        <v>3.7200493748142729</v>
      </c>
      <c r="L36" s="213">
        <f>+SIOO17!AJ143/'EXTRACC. POZOS'!M31</f>
        <v>4.5706917714890603</v>
      </c>
      <c r="M36" s="213">
        <f>+SIOO17!AK143/'EXTRACC. POZOS'!N31</f>
        <v>3.8027309071331201</v>
      </c>
      <c r="N36" s="213">
        <f>+SIOO17!AL143/'EXTRACC. POZOS'!O31</f>
        <v>5.0636492714491874</v>
      </c>
      <c r="O36" s="213">
        <f>+SIOO17!AM143/'EXTRACC. POZOS'!P31</f>
        <v>4.2694781900210375</v>
      </c>
      <c r="P36" s="256"/>
      <c r="Q36" s="229"/>
      <c r="R36" s="229"/>
    </row>
    <row r="37" spans="1:18" x14ac:dyDescent="0.2">
      <c r="A37" s="272" t="s">
        <v>341</v>
      </c>
      <c r="B37" s="200"/>
      <c r="C37" s="224"/>
      <c r="D37" s="211">
        <f>+'TRATAMIENTO DE AGUA'!B27/'EXTRACC. POZOS'!F31</f>
        <v>0.20664770057942267</v>
      </c>
      <c r="E37" s="211">
        <f>+'TRATAMIENTO DE AGUA'!C27/'EXTRACC. POZOS'!G31</f>
        <v>0.25932219505569137</v>
      </c>
      <c r="F37" s="211">
        <f>+'TRATAMIENTO DE AGUA'!D27/'EXTRACC. POZOS'!H31</f>
        <v>0.20532132273490741</v>
      </c>
      <c r="G37" s="211">
        <f>+'TRATAMIENTO DE AGUA'!E27/'EXTRACC. POZOS'!I31</f>
        <v>0.20374319131866739</v>
      </c>
      <c r="H37" s="211">
        <f>+'TRATAMIENTO DE AGUA'!F27/'EXTRACC. POZOS'!J31</f>
        <v>0.17616931823610912</v>
      </c>
      <c r="I37" s="211">
        <f>+'TRATAMIENTO DE AGUA'!F27/'EXTRACC. POZOS'!J31</f>
        <v>0.17616931823610912</v>
      </c>
      <c r="J37" s="211">
        <f>+'TRATAMIENTO DE AGUA'!G27/'EXTRACC. POZOS'!K31</f>
        <v>0.20758021420392034</v>
      </c>
      <c r="K37" s="211">
        <f>+'TRATAMIENTO DE AGUA'!H27/'EXTRACC. POZOS'!L31</f>
        <v>0.22039225546894645</v>
      </c>
      <c r="L37" s="211">
        <f>+'TRATAMIENTO DE AGUA'!I27/'EXTRACC. POZOS'!M31</f>
        <v>0.21361696377293049</v>
      </c>
      <c r="M37" s="211">
        <f>+'TRATAMIENTO DE AGUA'!J27/'EXTRACC. POZOS'!N31</f>
        <v>0.19982015418628363</v>
      </c>
      <c r="N37" s="211">
        <f>+'TRATAMIENTO DE AGUA'!K27/'EXTRACC. POZOS'!O31</f>
        <v>0.19694613844793074</v>
      </c>
      <c r="O37" s="211">
        <f>+'TRATAMIENTO DE AGUA'!L27/'EXTRACC. POZOS'!P31</f>
        <v>0.17670886383811851</v>
      </c>
      <c r="P37" s="258"/>
      <c r="Q37" s="229"/>
      <c r="R37" s="228"/>
    </row>
    <row r="38" spans="1:18" x14ac:dyDescent="0.2">
      <c r="A38" s="338" t="s">
        <v>342</v>
      </c>
      <c r="B38" s="338"/>
      <c r="C38" s="338" t="s">
        <v>343</v>
      </c>
      <c r="D38" s="189">
        <v>42</v>
      </c>
      <c r="E38" s="189">
        <f>34</f>
        <v>34</v>
      </c>
      <c r="F38" s="189">
        <f>36</f>
        <v>36</v>
      </c>
      <c r="G38" s="338">
        <v>31</v>
      </c>
      <c r="H38" s="338"/>
      <c r="I38" s="338">
        <v>7</v>
      </c>
      <c r="J38" s="342">
        <v>4</v>
      </c>
      <c r="K38" s="347">
        <v>4</v>
      </c>
      <c r="L38" s="364">
        <v>4</v>
      </c>
      <c r="M38" s="395">
        <v>4</v>
      </c>
      <c r="N38" s="395">
        <v>5</v>
      </c>
      <c r="O38" s="1">
        <v>6</v>
      </c>
    </row>
    <row r="39" spans="1:18" x14ac:dyDescent="0.2">
      <c r="A39" s="338" t="s">
        <v>347</v>
      </c>
      <c r="B39" s="338"/>
      <c r="C39" s="338" t="s">
        <v>346</v>
      </c>
      <c r="D39" s="338">
        <v>106</v>
      </c>
      <c r="E39" s="338">
        <v>136</v>
      </c>
      <c r="F39" s="338">
        <v>113</v>
      </c>
      <c r="G39" s="338">
        <v>122</v>
      </c>
      <c r="H39" s="338"/>
      <c r="I39" s="338">
        <v>121</v>
      </c>
      <c r="J39" s="342">
        <v>64</v>
      </c>
      <c r="K39" s="347">
        <v>89</v>
      </c>
      <c r="L39" s="364">
        <v>254</v>
      </c>
      <c r="M39" s="395">
        <v>94</v>
      </c>
      <c r="N39" s="395">
        <v>62</v>
      </c>
      <c r="O39" s="400">
        <v>62</v>
      </c>
    </row>
    <row r="69" spans="3:3" x14ac:dyDescent="0.2">
      <c r="C69" s="1" t="s">
        <v>393</v>
      </c>
    </row>
  </sheetData>
  <protectedRanges>
    <protectedRange sqref="I17:P17 B22:C24 B11 B12:C20 D17:G17 D12:P12 D14:O14" name="horas_1_1_1_1"/>
  </protectedRanges>
  <mergeCells count="3">
    <mergeCell ref="A1:O1"/>
    <mergeCell ref="A2:O2"/>
    <mergeCell ref="A3:O3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2"/>
  <sheetViews>
    <sheetView topLeftCell="A19" workbookViewId="0">
      <selection activeCell="G24" sqref="G24:K24"/>
    </sheetView>
  </sheetViews>
  <sheetFormatPr baseColWidth="10" defaultRowHeight="11.25" x14ac:dyDescent="0.2"/>
  <cols>
    <col min="1" max="16384" width="11.42578125" style="1"/>
  </cols>
  <sheetData>
    <row r="3" spans="2:15" x14ac:dyDescent="0.2">
      <c r="G3" s="430" t="s">
        <v>339</v>
      </c>
      <c r="H3" s="430"/>
      <c r="I3" s="430"/>
      <c r="J3" s="430"/>
      <c r="K3" s="430"/>
    </row>
    <row r="4" spans="2:15" x14ac:dyDescent="0.2">
      <c r="B4" s="322"/>
      <c r="C4" s="322"/>
      <c r="D4" s="322" t="s">
        <v>4</v>
      </c>
      <c r="E4" s="322" t="s">
        <v>5</v>
      </c>
      <c r="F4" s="322" t="s">
        <v>6</v>
      </c>
      <c r="G4" s="322" t="s">
        <v>7</v>
      </c>
      <c r="H4" s="322" t="s">
        <v>8</v>
      </c>
      <c r="I4" s="322" t="s">
        <v>9</v>
      </c>
      <c r="J4" s="322" t="s">
        <v>10</v>
      </c>
      <c r="K4" s="322" t="s">
        <v>11</v>
      </c>
      <c r="L4" s="322" t="s">
        <v>12</v>
      </c>
      <c r="M4" s="322" t="s">
        <v>13</v>
      </c>
      <c r="N4" s="322" t="s">
        <v>14</v>
      </c>
      <c r="O4" s="322" t="s">
        <v>15</v>
      </c>
    </row>
    <row r="5" spans="2:15" x14ac:dyDescent="0.2">
      <c r="B5" s="444" t="s">
        <v>334</v>
      </c>
      <c r="C5" s="444"/>
      <c r="D5" s="322">
        <v>210</v>
      </c>
      <c r="E5" s="322">
        <v>125</v>
      </c>
      <c r="F5" s="322">
        <v>117</v>
      </c>
      <c r="G5" s="322">
        <v>138</v>
      </c>
      <c r="H5" s="322">
        <v>196</v>
      </c>
      <c r="I5" s="322">
        <v>163</v>
      </c>
      <c r="J5" s="322">
        <v>118</v>
      </c>
      <c r="K5" s="322">
        <v>115</v>
      </c>
      <c r="L5" s="322">
        <v>102</v>
      </c>
      <c r="M5" s="322">
        <v>111</v>
      </c>
      <c r="N5" s="322">
        <v>452</v>
      </c>
      <c r="O5" s="322">
        <v>480</v>
      </c>
    </row>
    <row r="6" spans="2:15" x14ac:dyDescent="0.2">
      <c r="B6" s="444" t="s">
        <v>332</v>
      </c>
      <c r="C6" s="444"/>
      <c r="D6" s="322">
        <v>20</v>
      </c>
      <c r="E6" s="322">
        <v>36</v>
      </c>
      <c r="F6" s="322">
        <v>43</v>
      </c>
      <c r="G6" s="322">
        <v>23</v>
      </c>
      <c r="H6" s="322">
        <v>26</v>
      </c>
      <c r="I6" s="322">
        <v>24</v>
      </c>
      <c r="J6" s="322">
        <v>40</v>
      </c>
      <c r="K6" s="322">
        <v>32</v>
      </c>
      <c r="L6" s="322">
        <v>37</v>
      </c>
      <c r="M6" s="322">
        <v>42</v>
      </c>
      <c r="N6" s="322">
        <v>25</v>
      </c>
      <c r="O6" s="322">
        <v>33</v>
      </c>
    </row>
    <row r="7" spans="2:15" x14ac:dyDescent="0.2">
      <c r="B7" s="444" t="s">
        <v>40</v>
      </c>
      <c r="C7" s="444"/>
      <c r="D7" s="322">
        <v>72</v>
      </c>
      <c r="E7" s="322">
        <v>46</v>
      </c>
      <c r="F7" s="322">
        <v>89</v>
      </c>
      <c r="G7" s="322">
        <v>37</v>
      </c>
      <c r="H7" s="322">
        <v>71</v>
      </c>
      <c r="I7" s="322">
        <v>129</v>
      </c>
      <c r="J7" s="322">
        <v>67</v>
      </c>
      <c r="K7" s="322">
        <v>81</v>
      </c>
      <c r="L7" s="322">
        <v>46</v>
      </c>
      <c r="M7" s="322">
        <v>58</v>
      </c>
      <c r="N7" s="322">
        <v>20</v>
      </c>
      <c r="O7" s="322">
        <v>50</v>
      </c>
    </row>
    <row r="8" spans="2:15" x14ac:dyDescent="0.2">
      <c r="B8" s="473" t="s">
        <v>333</v>
      </c>
      <c r="C8" s="474"/>
      <c r="D8" s="322">
        <v>26</v>
      </c>
      <c r="E8" s="322">
        <v>22</v>
      </c>
      <c r="F8" s="322">
        <v>32</v>
      </c>
      <c r="G8" s="322">
        <v>5</v>
      </c>
      <c r="H8" s="322">
        <v>18</v>
      </c>
      <c r="I8" s="322">
        <v>11</v>
      </c>
      <c r="J8" s="322">
        <v>23</v>
      </c>
      <c r="K8" s="322">
        <v>22</v>
      </c>
      <c r="L8" s="322">
        <v>28</v>
      </c>
      <c r="M8" s="322">
        <v>24</v>
      </c>
      <c r="N8" s="322">
        <v>16</v>
      </c>
      <c r="O8" s="322">
        <v>10</v>
      </c>
    </row>
    <row r="9" spans="2:15" x14ac:dyDescent="0.2">
      <c r="B9" s="322" t="s">
        <v>335</v>
      </c>
      <c r="C9" s="322"/>
      <c r="D9" s="322">
        <v>1</v>
      </c>
      <c r="E9" s="322">
        <v>0</v>
      </c>
      <c r="F9" s="322">
        <v>0</v>
      </c>
      <c r="G9" s="322">
        <v>1</v>
      </c>
      <c r="H9" s="322">
        <v>0</v>
      </c>
      <c r="I9" s="322">
        <v>0</v>
      </c>
      <c r="J9" s="322">
        <v>0</v>
      </c>
      <c r="K9" s="322">
        <v>40</v>
      </c>
      <c r="L9" s="322">
        <v>27</v>
      </c>
      <c r="M9" s="322">
        <v>34</v>
      </c>
      <c r="N9" s="322">
        <v>11</v>
      </c>
      <c r="O9" s="322">
        <v>1</v>
      </c>
    </row>
    <row r="10" spans="2:15" x14ac:dyDescent="0.2">
      <c r="B10" s="444" t="s">
        <v>336</v>
      </c>
      <c r="C10" s="444"/>
      <c r="D10" s="322">
        <v>0</v>
      </c>
      <c r="E10" s="322">
        <v>0</v>
      </c>
      <c r="F10" s="322">
        <v>0</v>
      </c>
      <c r="G10" s="322">
        <v>0</v>
      </c>
      <c r="H10" s="322">
        <v>0</v>
      </c>
      <c r="I10" s="322">
        <v>0</v>
      </c>
      <c r="J10" s="322">
        <v>0</v>
      </c>
      <c r="K10" s="322">
        <v>0</v>
      </c>
      <c r="L10" s="322">
        <v>0</v>
      </c>
      <c r="M10" s="322">
        <v>0</v>
      </c>
      <c r="N10" s="322">
        <v>0</v>
      </c>
      <c r="O10" s="322">
        <v>0</v>
      </c>
    </row>
    <row r="11" spans="2:15" x14ac:dyDescent="0.2">
      <c r="D11" s="1">
        <f t="shared" ref="D11:O11" si="0">SUM(D5:D10)</f>
        <v>329</v>
      </c>
      <c r="E11" s="1">
        <f t="shared" si="0"/>
        <v>229</v>
      </c>
      <c r="F11" s="1">
        <f t="shared" si="0"/>
        <v>281</v>
      </c>
      <c r="G11" s="1">
        <f t="shared" si="0"/>
        <v>204</v>
      </c>
      <c r="H11" s="1">
        <f t="shared" si="0"/>
        <v>311</v>
      </c>
      <c r="I11" s="1">
        <f t="shared" si="0"/>
        <v>327</v>
      </c>
      <c r="J11" s="1">
        <f t="shared" si="0"/>
        <v>248</v>
      </c>
      <c r="K11" s="1">
        <f t="shared" si="0"/>
        <v>290</v>
      </c>
      <c r="L11" s="1">
        <f t="shared" si="0"/>
        <v>240</v>
      </c>
      <c r="M11" s="1">
        <f t="shared" si="0"/>
        <v>269</v>
      </c>
      <c r="N11" s="1">
        <f t="shared" si="0"/>
        <v>524</v>
      </c>
      <c r="O11" s="1">
        <f t="shared" si="0"/>
        <v>574</v>
      </c>
    </row>
    <row r="14" spans="2:15" x14ac:dyDescent="0.2">
      <c r="G14" s="430" t="s">
        <v>337</v>
      </c>
      <c r="H14" s="430"/>
      <c r="I14" s="430"/>
      <c r="J14" s="430"/>
      <c r="K14" s="430"/>
    </row>
    <row r="15" spans="2:15" x14ac:dyDescent="0.2">
      <c r="B15" s="322"/>
      <c r="C15" s="322"/>
      <c r="D15" s="322" t="s">
        <v>4</v>
      </c>
      <c r="E15" s="322" t="s">
        <v>5</v>
      </c>
      <c r="F15" s="322" t="s">
        <v>6</v>
      </c>
      <c r="G15" s="322" t="s">
        <v>7</v>
      </c>
      <c r="H15" s="322" t="s">
        <v>8</v>
      </c>
      <c r="I15" s="322" t="s">
        <v>9</v>
      </c>
      <c r="J15" s="322" t="s">
        <v>10</v>
      </c>
      <c r="K15" s="322" t="s">
        <v>11</v>
      </c>
      <c r="L15" s="322" t="s">
        <v>12</v>
      </c>
      <c r="M15" s="322" t="s">
        <v>13</v>
      </c>
      <c r="N15" s="322" t="s">
        <v>14</v>
      </c>
      <c r="O15" s="322" t="s">
        <v>15</v>
      </c>
    </row>
    <row r="16" spans="2:15" x14ac:dyDescent="0.2">
      <c r="B16" s="444" t="s">
        <v>334</v>
      </c>
      <c r="C16" s="444"/>
      <c r="D16" s="322">
        <v>111</v>
      </c>
      <c r="E16" s="322">
        <v>269</v>
      </c>
      <c r="F16" s="322">
        <v>323</v>
      </c>
      <c r="G16" s="322">
        <v>117</v>
      </c>
      <c r="H16" s="322">
        <v>142</v>
      </c>
      <c r="I16" s="322">
        <v>117</v>
      </c>
      <c r="J16" s="322">
        <v>134</v>
      </c>
      <c r="K16" s="322">
        <v>138</v>
      </c>
      <c r="L16" s="322">
        <v>108</v>
      </c>
      <c r="M16" s="322">
        <v>135</v>
      </c>
      <c r="N16" s="322">
        <v>131</v>
      </c>
      <c r="O16" s="322">
        <v>88</v>
      </c>
    </row>
    <row r="17" spans="2:15" x14ac:dyDescent="0.2">
      <c r="B17" s="444" t="s">
        <v>332</v>
      </c>
      <c r="C17" s="444"/>
      <c r="D17" s="322">
        <v>22</v>
      </c>
      <c r="E17" s="322">
        <v>11</v>
      </c>
      <c r="F17" s="322">
        <v>5</v>
      </c>
      <c r="G17" s="322">
        <v>16</v>
      </c>
      <c r="H17" s="322">
        <v>23</v>
      </c>
      <c r="I17" s="322">
        <v>32</v>
      </c>
      <c r="J17" s="322">
        <v>25</v>
      </c>
      <c r="K17" s="322">
        <v>44</v>
      </c>
      <c r="L17" s="322">
        <v>37</v>
      </c>
      <c r="M17" s="322">
        <v>36</v>
      </c>
      <c r="N17" s="322">
        <v>28</v>
      </c>
      <c r="O17" s="322">
        <v>15</v>
      </c>
    </row>
    <row r="18" spans="2:15" x14ac:dyDescent="0.2">
      <c r="B18" s="444" t="s">
        <v>40</v>
      </c>
      <c r="C18" s="444"/>
      <c r="D18" s="322">
        <v>325</v>
      </c>
      <c r="E18" s="322">
        <v>159</v>
      </c>
      <c r="F18" s="322">
        <v>103</v>
      </c>
      <c r="G18" s="322">
        <v>181</v>
      </c>
      <c r="H18" s="322">
        <v>136</v>
      </c>
      <c r="I18" s="322">
        <v>76</v>
      </c>
      <c r="J18" s="322">
        <v>73</v>
      </c>
      <c r="K18" s="322">
        <v>78</v>
      </c>
      <c r="L18" s="322">
        <v>55</v>
      </c>
      <c r="M18" s="322">
        <v>71</v>
      </c>
      <c r="N18" s="322">
        <v>87</v>
      </c>
      <c r="O18" s="322">
        <v>52</v>
      </c>
    </row>
    <row r="19" spans="2:15" x14ac:dyDescent="0.2">
      <c r="B19" s="322" t="s">
        <v>335</v>
      </c>
      <c r="C19" s="322"/>
      <c r="D19" s="322">
        <v>0</v>
      </c>
      <c r="E19" s="322">
        <v>0</v>
      </c>
      <c r="F19" s="322">
        <v>0</v>
      </c>
      <c r="G19" s="322">
        <v>0</v>
      </c>
      <c r="H19" s="322">
        <v>0</v>
      </c>
      <c r="I19" s="322">
        <v>0</v>
      </c>
      <c r="J19" s="322">
        <v>0</v>
      </c>
      <c r="K19" s="322">
        <v>0</v>
      </c>
      <c r="L19" s="322">
        <v>3</v>
      </c>
      <c r="M19" s="322">
        <v>9</v>
      </c>
      <c r="N19" s="322">
        <v>3</v>
      </c>
      <c r="O19" s="322">
        <v>8</v>
      </c>
    </row>
    <row r="20" spans="2:15" x14ac:dyDescent="0.2">
      <c r="B20" s="444" t="s">
        <v>336</v>
      </c>
      <c r="C20" s="444"/>
      <c r="D20" s="322">
        <v>3</v>
      </c>
      <c r="E20" s="322">
        <v>5</v>
      </c>
      <c r="F20" s="322">
        <v>6</v>
      </c>
      <c r="G20" s="322">
        <v>7</v>
      </c>
      <c r="H20" s="322">
        <v>1</v>
      </c>
      <c r="I20" s="322">
        <v>7</v>
      </c>
      <c r="J20" s="322">
        <v>72</v>
      </c>
      <c r="K20" s="322">
        <v>99</v>
      </c>
      <c r="L20" s="322">
        <v>112</v>
      </c>
      <c r="M20" s="322">
        <v>235</v>
      </c>
      <c r="N20" s="322">
        <v>155</v>
      </c>
      <c r="O20" s="322">
        <v>20</v>
      </c>
    </row>
    <row r="21" spans="2:15" x14ac:dyDescent="0.2">
      <c r="D21" s="1">
        <f t="shared" ref="D21:O21" si="1">SUM(D16:D20)</f>
        <v>461</v>
      </c>
      <c r="E21" s="1">
        <f t="shared" si="1"/>
        <v>444</v>
      </c>
      <c r="F21" s="1">
        <f t="shared" si="1"/>
        <v>437</v>
      </c>
      <c r="G21" s="1">
        <f t="shared" si="1"/>
        <v>321</v>
      </c>
      <c r="H21" s="1">
        <f t="shared" si="1"/>
        <v>302</v>
      </c>
      <c r="I21" s="1">
        <f t="shared" si="1"/>
        <v>232</v>
      </c>
      <c r="J21" s="1">
        <f t="shared" si="1"/>
        <v>304</v>
      </c>
      <c r="K21" s="1">
        <f t="shared" si="1"/>
        <v>359</v>
      </c>
      <c r="L21" s="1">
        <f t="shared" si="1"/>
        <v>315</v>
      </c>
      <c r="M21" s="1">
        <f t="shared" si="1"/>
        <v>486</v>
      </c>
      <c r="N21" s="1">
        <f t="shared" si="1"/>
        <v>404</v>
      </c>
      <c r="O21" s="1">
        <f t="shared" si="1"/>
        <v>183</v>
      </c>
    </row>
    <row r="24" spans="2:15" x14ac:dyDescent="0.2">
      <c r="G24" s="475" t="s">
        <v>338</v>
      </c>
      <c r="H24" s="475"/>
      <c r="I24" s="475"/>
      <c r="J24" s="475"/>
      <c r="K24" s="475"/>
    </row>
    <row r="25" spans="2:15" x14ac:dyDescent="0.2">
      <c r="B25" s="30"/>
      <c r="C25" s="370"/>
      <c r="D25" s="371" t="s">
        <v>4</v>
      </c>
      <c r="E25" s="322" t="s">
        <v>5</v>
      </c>
      <c r="F25" s="322" t="s">
        <v>6</v>
      </c>
      <c r="G25" s="322" t="s">
        <v>7</v>
      </c>
      <c r="H25" s="322" t="s">
        <v>8</v>
      </c>
      <c r="I25" s="322" t="s">
        <v>9</v>
      </c>
      <c r="J25" s="322" t="s">
        <v>10</v>
      </c>
      <c r="K25" s="322" t="s">
        <v>11</v>
      </c>
      <c r="L25" s="322" t="s">
        <v>12</v>
      </c>
      <c r="M25" s="322" t="s">
        <v>13</v>
      </c>
      <c r="N25" s="322" t="s">
        <v>14</v>
      </c>
      <c r="O25" s="322" t="s">
        <v>15</v>
      </c>
    </row>
    <row r="26" spans="2:15" x14ac:dyDescent="0.2">
      <c r="B26" s="476" t="s">
        <v>334</v>
      </c>
      <c r="C26" s="476"/>
      <c r="D26" s="322">
        <v>153</v>
      </c>
      <c r="E26" s="322">
        <v>181</v>
      </c>
      <c r="F26" s="322">
        <v>173</v>
      </c>
      <c r="G26" s="322">
        <v>205</v>
      </c>
      <c r="H26" s="322">
        <v>209</v>
      </c>
      <c r="I26" s="322">
        <v>155</v>
      </c>
      <c r="J26" s="322">
        <v>174</v>
      </c>
      <c r="K26" s="322">
        <v>195</v>
      </c>
      <c r="L26" s="322">
        <v>187</v>
      </c>
      <c r="M26" s="322">
        <v>167</v>
      </c>
      <c r="N26" s="322">
        <v>85</v>
      </c>
      <c r="O26" s="322"/>
    </row>
    <row r="27" spans="2:15" x14ac:dyDescent="0.2">
      <c r="B27" s="444" t="s">
        <v>332</v>
      </c>
      <c r="C27" s="444"/>
      <c r="D27" s="322">
        <v>34</v>
      </c>
      <c r="E27" s="322">
        <v>0</v>
      </c>
      <c r="F27" s="322">
        <v>1</v>
      </c>
      <c r="G27" s="322">
        <v>0</v>
      </c>
      <c r="H27" s="322">
        <v>3</v>
      </c>
      <c r="I27" s="322">
        <v>0</v>
      </c>
      <c r="J27" s="322">
        <v>0</v>
      </c>
      <c r="K27" s="322">
        <v>0</v>
      </c>
      <c r="L27" s="322">
        <v>0</v>
      </c>
      <c r="M27" s="322">
        <v>0</v>
      </c>
      <c r="N27" s="322">
        <v>0</v>
      </c>
      <c r="O27" s="322"/>
    </row>
    <row r="28" spans="2:15" x14ac:dyDescent="0.2">
      <c r="B28" s="444" t="s">
        <v>40</v>
      </c>
      <c r="C28" s="444"/>
      <c r="D28" s="322">
        <v>82</v>
      </c>
      <c r="E28" s="322">
        <v>88</v>
      </c>
      <c r="F28" s="322">
        <v>113</v>
      </c>
      <c r="G28" s="322">
        <v>90</v>
      </c>
      <c r="H28" s="322">
        <v>109</v>
      </c>
      <c r="I28" s="322">
        <v>76</v>
      </c>
      <c r="J28" s="322">
        <v>100</v>
      </c>
      <c r="K28" s="322">
        <v>79</v>
      </c>
      <c r="L28" s="322">
        <v>24</v>
      </c>
      <c r="M28" s="322">
        <v>39</v>
      </c>
      <c r="N28" s="322">
        <v>15</v>
      </c>
      <c r="O28" s="322"/>
    </row>
    <row r="29" spans="2:15" x14ac:dyDescent="0.2">
      <c r="B29" s="322" t="s">
        <v>335</v>
      </c>
      <c r="C29" s="322"/>
      <c r="D29" s="322">
        <v>21</v>
      </c>
      <c r="E29" s="322">
        <v>8</v>
      </c>
      <c r="F29" s="322">
        <v>7</v>
      </c>
      <c r="G29" s="322">
        <v>11</v>
      </c>
      <c r="H29" s="322">
        <v>8</v>
      </c>
      <c r="I29" s="322">
        <v>7</v>
      </c>
      <c r="J29" s="322">
        <v>7</v>
      </c>
      <c r="K29" s="322">
        <v>5</v>
      </c>
      <c r="L29" s="322">
        <v>12</v>
      </c>
      <c r="M29" s="322">
        <v>10</v>
      </c>
      <c r="N29" s="322">
        <v>15</v>
      </c>
      <c r="O29" s="322"/>
    </row>
    <row r="30" spans="2:15" x14ac:dyDescent="0.2">
      <c r="B30" s="444" t="s">
        <v>336</v>
      </c>
      <c r="C30" s="444"/>
      <c r="D30" s="322">
        <v>15</v>
      </c>
      <c r="E30" s="322">
        <v>5</v>
      </c>
      <c r="F30" s="322">
        <v>9</v>
      </c>
      <c r="G30" s="322">
        <v>2</v>
      </c>
      <c r="H30" s="322">
        <v>0</v>
      </c>
      <c r="I30" s="322">
        <v>4</v>
      </c>
      <c r="J30" s="322">
        <v>5</v>
      </c>
      <c r="K30" s="322">
        <v>25</v>
      </c>
      <c r="L30" s="322">
        <v>11</v>
      </c>
      <c r="M30" s="322">
        <v>3</v>
      </c>
      <c r="N30" s="322">
        <v>2</v>
      </c>
      <c r="O30" s="322"/>
    </row>
    <row r="31" spans="2:15" x14ac:dyDescent="0.2">
      <c r="B31" s="473" t="s">
        <v>32</v>
      </c>
      <c r="C31" s="474"/>
      <c r="D31" s="372"/>
      <c r="E31" s="372"/>
      <c r="F31" s="372"/>
      <c r="G31" s="372"/>
      <c r="H31" s="372"/>
      <c r="I31" s="372"/>
      <c r="J31" s="372"/>
      <c r="K31" s="372"/>
      <c r="L31" s="372">
        <v>40</v>
      </c>
      <c r="M31" s="372">
        <v>28</v>
      </c>
      <c r="N31" s="372">
        <v>6</v>
      </c>
      <c r="O31" s="372"/>
    </row>
    <row r="32" spans="2:15" x14ac:dyDescent="0.2">
      <c r="D32" s="1">
        <f t="shared" ref="D32:O32" si="2">SUM(D26:D30)</f>
        <v>305</v>
      </c>
      <c r="E32" s="1">
        <f t="shared" si="2"/>
        <v>282</v>
      </c>
      <c r="F32" s="1">
        <f t="shared" si="2"/>
        <v>303</v>
      </c>
      <c r="G32" s="1">
        <f t="shared" si="2"/>
        <v>308</v>
      </c>
      <c r="H32" s="1">
        <f t="shared" si="2"/>
        <v>329</v>
      </c>
      <c r="I32" s="1">
        <f t="shared" si="2"/>
        <v>242</v>
      </c>
      <c r="J32" s="1">
        <f>SUM(J26:J30)</f>
        <v>286</v>
      </c>
      <c r="K32" s="1">
        <f t="shared" si="2"/>
        <v>304</v>
      </c>
      <c r="L32" s="1">
        <f>SUM(L26:L31)</f>
        <v>274</v>
      </c>
      <c r="M32" s="1">
        <f>SUM(M26:M31)</f>
        <v>247</v>
      </c>
      <c r="N32" s="1">
        <f>SUM(N26:N31)</f>
        <v>123</v>
      </c>
      <c r="O32" s="1">
        <f t="shared" si="2"/>
        <v>0</v>
      </c>
    </row>
  </sheetData>
  <mergeCells count="17">
    <mergeCell ref="B17:C17"/>
    <mergeCell ref="B18:C18"/>
    <mergeCell ref="B20:C20"/>
    <mergeCell ref="B31:C31"/>
    <mergeCell ref="B30:C30"/>
    <mergeCell ref="G3:K3"/>
    <mergeCell ref="B5:C5"/>
    <mergeCell ref="B6:C6"/>
    <mergeCell ref="B7:C7"/>
    <mergeCell ref="B10:C10"/>
    <mergeCell ref="B8:C8"/>
    <mergeCell ref="G14:K14"/>
    <mergeCell ref="G24:K24"/>
    <mergeCell ref="B26:C26"/>
    <mergeCell ref="B27:C27"/>
    <mergeCell ref="B28:C28"/>
    <mergeCell ref="B16:C1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0" workbookViewId="0">
      <selection activeCell="I20" sqref="I20"/>
    </sheetView>
  </sheetViews>
  <sheetFormatPr baseColWidth="10" defaultRowHeight="15" x14ac:dyDescent="0.25"/>
  <sheetData>
    <row r="2" spans="2:16" x14ac:dyDescent="0.25">
      <c r="G2" s="477">
        <v>2017</v>
      </c>
      <c r="H2" s="477"/>
      <c r="I2" s="477"/>
    </row>
    <row r="4" spans="2:16" x14ac:dyDescent="0.25">
      <c r="C4" s="262" t="s">
        <v>4</v>
      </c>
      <c r="D4" s="262" t="s">
        <v>5</v>
      </c>
      <c r="E4" s="262" t="s">
        <v>6</v>
      </c>
      <c r="F4" s="262" t="s">
        <v>7</v>
      </c>
      <c r="G4" s="262" t="s">
        <v>8</v>
      </c>
      <c r="H4" s="262" t="s">
        <v>9</v>
      </c>
      <c r="I4" s="263" t="s">
        <v>10</v>
      </c>
      <c r="J4" s="262" t="s">
        <v>11</v>
      </c>
      <c r="K4" s="262" t="s">
        <v>276</v>
      </c>
      <c r="L4" s="262" t="s">
        <v>240</v>
      </c>
      <c r="M4" s="262" t="s">
        <v>14</v>
      </c>
      <c r="N4" s="263" t="s">
        <v>15</v>
      </c>
      <c r="O4" s="264" t="s">
        <v>325</v>
      </c>
      <c r="P4" s="265" t="s">
        <v>326</v>
      </c>
    </row>
    <row r="5" spans="2:16" x14ac:dyDescent="0.25">
      <c r="B5" s="268" t="s">
        <v>39</v>
      </c>
      <c r="C5" s="211">
        <f>45231/52473</f>
        <v>0.86198616431307529</v>
      </c>
      <c r="D5" s="211">
        <f t="shared" ref="D5:N5" si="0">45231/52473</f>
        <v>0.86198616431307529</v>
      </c>
      <c r="E5" s="211">
        <f t="shared" si="0"/>
        <v>0.86198616431307529</v>
      </c>
      <c r="F5" s="211">
        <f t="shared" si="0"/>
        <v>0.86198616431307529</v>
      </c>
      <c r="G5" s="211">
        <f t="shared" si="0"/>
        <v>0.86198616431307529</v>
      </c>
      <c r="H5" s="211">
        <f t="shared" si="0"/>
        <v>0.86198616431307529</v>
      </c>
      <c r="I5" s="211">
        <f t="shared" si="0"/>
        <v>0.86198616431307529</v>
      </c>
      <c r="J5" s="211">
        <f t="shared" si="0"/>
        <v>0.86198616431307529</v>
      </c>
      <c r="K5" s="211">
        <f t="shared" si="0"/>
        <v>0.86198616431307529</v>
      </c>
      <c r="L5" s="211">
        <f t="shared" si="0"/>
        <v>0.86198616431307529</v>
      </c>
      <c r="M5" s="211">
        <f t="shared" si="0"/>
        <v>0.86198616431307529</v>
      </c>
      <c r="N5" s="211">
        <f t="shared" si="0"/>
        <v>0.86198616431307529</v>
      </c>
      <c r="O5" s="213">
        <f>SUM(C5:N5)</f>
        <v>10.343833971756903</v>
      </c>
      <c r="P5" s="211">
        <f t="shared" ref="P5:P9" si="1">+O5/12</f>
        <v>0.86198616431307518</v>
      </c>
    </row>
    <row r="6" spans="2:16" x14ac:dyDescent="0.25">
      <c r="B6" s="268" t="s">
        <v>40</v>
      </c>
      <c r="C6" s="211">
        <f>1879/52473</f>
        <v>3.5808892192175021E-2</v>
      </c>
      <c r="D6" s="211">
        <f t="shared" ref="D6:N6" si="2">1879/52473</f>
        <v>3.5808892192175021E-2</v>
      </c>
      <c r="E6" s="211">
        <f t="shared" si="2"/>
        <v>3.5808892192175021E-2</v>
      </c>
      <c r="F6" s="211">
        <f t="shared" si="2"/>
        <v>3.5808892192175021E-2</v>
      </c>
      <c r="G6" s="211">
        <f t="shared" si="2"/>
        <v>3.5808892192175021E-2</v>
      </c>
      <c r="H6" s="211">
        <f t="shared" si="2"/>
        <v>3.5808892192175021E-2</v>
      </c>
      <c r="I6" s="211">
        <f t="shared" si="2"/>
        <v>3.5808892192175021E-2</v>
      </c>
      <c r="J6" s="211">
        <f t="shared" si="2"/>
        <v>3.5808892192175021E-2</v>
      </c>
      <c r="K6" s="211">
        <f t="shared" si="2"/>
        <v>3.5808892192175021E-2</v>
      </c>
      <c r="L6" s="211">
        <f t="shared" si="2"/>
        <v>3.5808892192175021E-2</v>
      </c>
      <c r="M6" s="211">
        <f t="shared" si="2"/>
        <v>3.5808892192175021E-2</v>
      </c>
      <c r="N6" s="211">
        <f t="shared" si="2"/>
        <v>3.5808892192175021E-2</v>
      </c>
      <c r="O6" s="213">
        <f t="shared" ref="O6:O9" si="3">SUM(C6:N6)</f>
        <v>0.42970670630610036</v>
      </c>
      <c r="P6" s="211">
        <f t="shared" si="1"/>
        <v>3.5808892192175028E-2</v>
      </c>
    </row>
    <row r="7" spans="2:16" x14ac:dyDescent="0.25">
      <c r="B7" s="268" t="s">
        <v>41</v>
      </c>
      <c r="C7" s="211">
        <f>651/52473</f>
        <v>1.2406380424218169E-2</v>
      </c>
      <c r="D7" s="211">
        <f t="shared" ref="D7:N7" si="4">651/52473</f>
        <v>1.2406380424218169E-2</v>
      </c>
      <c r="E7" s="211">
        <f t="shared" si="4"/>
        <v>1.2406380424218169E-2</v>
      </c>
      <c r="F7" s="211">
        <f t="shared" si="4"/>
        <v>1.2406380424218169E-2</v>
      </c>
      <c r="G7" s="211">
        <f t="shared" si="4"/>
        <v>1.2406380424218169E-2</v>
      </c>
      <c r="H7" s="211">
        <f t="shared" si="4"/>
        <v>1.2406380424218169E-2</v>
      </c>
      <c r="I7" s="211">
        <f t="shared" si="4"/>
        <v>1.2406380424218169E-2</v>
      </c>
      <c r="J7" s="211">
        <f t="shared" si="4"/>
        <v>1.2406380424218169E-2</v>
      </c>
      <c r="K7" s="211">
        <f t="shared" si="4"/>
        <v>1.2406380424218169E-2</v>
      </c>
      <c r="L7" s="211">
        <f t="shared" si="4"/>
        <v>1.2406380424218169E-2</v>
      </c>
      <c r="M7" s="211">
        <f t="shared" si="4"/>
        <v>1.2406380424218169E-2</v>
      </c>
      <c r="N7" s="211">
        <f t="shared" si="4"/>
        <v>1.2406380424218169E-2</v>
      </c>
      <c r="O7" s="213">
        <f t="shared" si="3"/>
        <v>0.14887656509061803</v>
      </c>
      <c r="P7" s="211">
        <f t="shared" si="1"/>
        <v>1.2406380424218169E-2</v>
      </c>
    </row>
    <row r="8" spans="2:16" x14ac:dyDescent="0.25">
      <c r="B8" s="269" t="s">
        <v>42</v>
      </c>
      <c r="C8" s="260">
        <f>3340/52473</f>
        <v>6.3651782821641606E-2</v>
      </c>
      <c r="D8" s="260">
        <f t="shared" ref="D8:N8" si="5">3340/52473</f>
        <v>6.3651782821641606E-2</v>
      </c>
      <c r="E8" s="260">
        <f t="shared" si="5"/>
        <v>6.3651782821641606E-2</v>
      </c>
      <c r="F8" s="260">
        <f t="shared" si="5"/>
        <v>6.3651782821641606E-2</v>
      </c>
      <c r="G8" s="260">
        <f t="shared" si="5"/>
        <v>6.3651782821641606E-2</v>
      </c>
      <c r="H8" s="260">
        <f t="shared" si="5"/>
        <v>6.3651782821641606E-2</v>
      </c>
      <c r="I8" s="260">
        <f t="shared" si="5"/>
        <v>6.3651782821641606E-2</v>
      </c>
      <c r="J8" s="260">
        <f t="shared" si="5"/>
        <v>6.3651782821641606E-2</v>
      </c>
      <c r="K8" s="260">
        <f t="shared" si="5"/>
        <v>6.3651782821641606E-2</v>
      </c>
      <c r="L8" s="260">
        <f t="shared" si="5"/>
        <v>6.3651782821641606E-2</v>
      </c>
      <c r="M8" s="260">
        <f t="shared" si="5"/>
        <v>6.3651782821641606E-2</v>
      </c>
      <c r="N8" s="260">
        <f t="shared" si="5"/>
        <v>6.3651782821641606E-2</v>
      </c>
      <c r="O8" s="213">
        <f t="shared" si="3"/>
        <v>0.76382139385969949</v>
      </c>
      <c r="P8" s="211">
        <f t="shared" si="1"/>
        <v>6.365178282164162E-2</v>
      </c>
    </row>
    <row r="9" spans="2:16" ht="23.25" x14ac:dyDescent="0.25">
      <c r="B9" s="270" t="s">
        <v>43</v>
      </c>
      <c r="C9" s="211">
        <f>1374/52473</f>
        <v>2.6184895088902864E-2</v>
      </c>
      <c r="D9" s="211">
        <f t="shared" ref="D9:N9" si="6">1374/52473</f>
        <v>2.6184895088902864E-2</v>
      </c>
      <c r="E9" s="211">
        <f t="shared" si="6"/>
        <v>2.6184895088902864E-2</v>
      </c>
      <c r="F9" s="211">
        <f t="shared" si="6"/>
        <v>2.6184895088902864E-2</v>
      </c>
      <c r="G9" s="211">
        <f t="shared" si="6"/>
        <v>2.6184895088902864E-2</v>
      </c>
      <c r="H9" s="211">
        <f t="shared" si="6"/>
        <v>2.6184895088902864E-2</v>
      </c>
      <c r="I9" s="211">
        <f t="shared" si="6"/>
        <v>2.6184895088902864E-2</v>
      </c>
      <c r="J9" s="211">
        <f t="shared" si="6"/>
        <v>2.6184895088902864E-2</v>
      </c>
      <c r="K9" s="211">
        <f t="shared" si="6"/>
        <v>2.6184895088902864E-2</v>
      </c>
      <c r="L9" s="211">
        <f t="shared" si="6"/>
        <v>2.6184895088902864E-2</v>
      </c>
      <c r="M9" s="211">
        <f t="shared" si="6"/>
        <v>2.6184895088902864E-2</v>
      </c>
      <c r="N9" s="211">
        <f t="shared" si="6"/>
        <v>2.6184895088902864E-2</v>
      </c>
      <c r="O9" s="213">
        <f t="shared" si="3"/>
        <v>0.31421874106683439</v>
      </c>
      <c r="P9" s="211">
        <f t="shared" si="1"/>
        <v>2.6184895088902867E-2</v>
      </c>
    </row>
    <row r="10" spans="2:16" x14ac:dyDescent="0.25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</row>
    <row r="11" spans="2:16" x14ac:dyDescent="0.25">
      <c r="H11" s="477">
        <v>2018</v>
      </c>
      <c r="I11" s="477"/>
      <c r="J11" s="477"/>
      <c r="K11" s="477"/>
    </row>
    <row r="12" spans="2:16" x14ac:dyDescent="0.25">
      <c r="G12" s="477"/>
      <c r="H12" s="477"/>
      <c r="I12" s="477"/>
    </row>
    <row r="13" spans="2:16" x14ac:dyDescent="0.25">
      <c r="B13" s="268" t="s">
        <v>39</v>
      </c>
      <c r="C13" s="211">
        <v>0.88</v>
      </c>
      <c r="D13" s="211">
        <v>0.87</v>
      </c>
      <c r="E13" s="211">
        <v>0.87</v>
      </c>
      <c r="F13" s="211">
        <f>48960/56373</f>
        <v>0.86850087807993193</v>
      </c>
      <c r="G13" s="211">
        <f>49183/56126</f>
        <v>0.8762961907137512</v>
      </c>
      <c r="H13" s="211">
        <v>0.88</v>
      </c>
      <c r="I13" s="211">
        <v>0.89090416892257718</v>
      </c>
      <c r="J13" s="211">
        <v>0.88006623321382993</v>
      </c>
      <c r="K13" s="211">
        <v>0.87432280014052477</v>
      </c>
      <c r="L13" s="228">
        <v>0.87287067973927812</v>
      </c>
      <c r="M13" s="228">
        <v>0.86858348308461597</v>
      </c>
      <c r="N13" s="254">
        <v>0.86029985787777485</v>
      </c>
      <c r="O13" s="229">
        <f>SUM(C13:N13)</f>
        <v>10.491844291772283</v>
      </c>
      <c r="P13" s="228">
        <f t="shared" ref="P13:P17" si="7">+O13/12</f>
        <v>0.87432035764769023</v>
      </c>
    </row>
    <row r="14" spans="2:16" x14ac:dyDescent="0.25">
      <c r="B14" s="268" t="s">
        <v>40</v>
      </c>
      <c r="C14" s="211">
        <f>1441/49871</f>
        <v>2.8894547933668864E-2</v>
      </c>
      <c r="D14" s="211">
        <f>1689/53741</f>
        <v>3.1428518263523192E-2</v>
      </c>
      <c r="E14" s="211">
        <f>1777/58399</f>
        <v>3.0428603229507356E-2</v>
      </c>
      <c r="F14" s="211">
        <f>2010/56373</f>
        <v>3.5655366930977594E-2</v>
      </c>
      <c r="G14" s="211">
        <f>1741/56126</f>
        <v>3.10194918576061E-2</v>
      </c>
      <c r="H14" s="211">
        <f>+SIOO17!T53/'EXTRA - FACT'!$H$20</f>
        <v>1.9999643817563355E-2</v>
      </c>
      <c r="I14" s="211">
        <v>3.482481243715678E-2</v>
      </c>
      <c r="J14" s="211">
        <v>3.2979886978185574E-2</v>
      </c>
      <c r="K14" s="211">
        <v>3.4447053602795701E-2</v>
      </c>
      <c r="L14" s="228">
        <v>3.17138631757682E-2</v>
      </c>
      <c r="M14" s="228">
        <v>3.9319478084225333E-2</v>
      </c>
      <c r="N14" s="254">
        <v>3.7071881818363794E-2</v>
      </c>
      <c r="O14" s="229">
        <f t="shared" ref="O14:O17" si="8">SUM(C14:N14)</f>
        <v>0.38778314812934178</v>
      </c>
      <c r="P14" s="228">
        <f t="shared" si="7"/>
        <v>3.2315262344111813E-2</v>
      </c>
    </row>
    <row r="15" spans="2:16" x14ac:dyDescent="0.25">
      <c r="B15" s="268" t="s">
        <v>41</v>
      </c>
      <c r="C15" s="211">
        <f>571/49871</f>
        <v>1.1449539812716809E-2</v>
      </c>
      <c r="D15" s="211">
        <f>787/53741</f>
        <v>1.4644312536052549E-2</v>
      </c>
      <c r="E15" s="211">
        <f>929/58399</f>
        <v>1.5907806640524668E-2</v>
      </c>
      <c r="F15" s="211">
        <f>772/56373</f>
        <v>1.3694499139659057E-2</v>
      </c>
      <c r="G15" s="211">
        <f>669/56126</f>
        <v>1.1919609450165699E-2</v>
      </c>
      <c r="H15" s="211">
        <f>+SIOO17!T54/'EXTRA - FACT'!$H$20</f>
        <v>7.3854428238143574E-2</v>
      </c>
      <c r="I15" s="211">
        <v>1.3941526800216568E-2</v>
      </c>
      <c r="J15" s="211">
        <v>1.3033967308744E-2</v>
      </c>
      <c r="K15" s="211">
        <v>1.610487583898822E-2</v>
      </c>
      <c r="L15" s="228">
        <v>1.581128699494258E-2</v>
      </c>
      <c r="M15" s="228">
        <v>1.8321743886241113E-2</v>
      </c>
      <c r="N15" s="254">
        <v>1.6514202213903956E-2</v>
      </c>
      <c r="O15" s="229">
        <f t="shared" si="8"/>
        <v>0.23519779886029879</v>
      </c>
      <c r="P15" s="228">
        <f t="shared" si="7"/>
        <v>1.9599816571691565E-2</v>
      </c>
    </row>
    <row r="16" spans="2:16" x14ac:dyDescent="0.25">
      <c r="B16" s="269" t="s">
        <v>42</v>
      </c>
      <c r="C16" s="211">
        <f>3247/49871</f>
        <v>6.5107978584748649E-2</v>
      </c>
      <c r="D16" s="211">
        <f>3470/53741</f>
        <v>6.4568951080180861E-2</v>
      </c>
      <c r="E16" s="211">
        <f>3688/58399</f>
        <v>6.31517662973681E-2</v>
      </c>
      <c r="F16" s="211">
        <f>3791/56373</f>
        <v>6.724850549021695E-2</v>
      </c>
      <c r="G16" s="211">
        <f>3770/56126</f>
        <v>6.717029540676335E-2</v>
      </c>
      <c r="H16" s="211">
        <f>+SIOO17!T55/'EXTRA - FACT'!$H$20</f>
        <v>0</v>
      </c>
      <c r="I16" s="211">
        <v>6.0329491840049501E-2</v>
      </c>
      <c r="J16" s="211">
        <v>5.9761803487877498E-2</v>
      </c>
      <c r="K16" s="211">
        <v>6.3568958822550523E-2</v>
      </c>
      <c r="L16" s="228">
        <v>5.6562779573131765E-2</v>
      </c>
      <c r="M16" s="228">
        <v>6.7895929369481994E-2</v>
      </c>
      <c r="N16" s="254">
        <v>6.7578117180775471E-2</v>
      </c>
      <c r="O16" s="229">
        <f t="shared" si="8"/>
        <v>0.70294457713314451</v>
      </c>
      <c r="P16" s="228">
        <f t="shared" si="7"/>
        <v>5.8578714761095378E-2</v>
      </c>
    </row>
    <row r="17" spans="2:16" ht="23.25" x14ac:dyDescent="0.25">
      <c r="B17" s="270" t="s">
        <v>43</v>
      </c>
      <c r="C17" s="211">
        <f>350/49871</f>
        <v>7.0181067153255398E-3</v>
      </c>
      <c r="D17" s="211">
        <f>861/53741</f>
        <v>1.602128728531289E-2</v>
      </c>
      <c r="E17" s="211">
        <f>1182/58399</f>
        <v>2.0240072603982945E-2</v>
      </c>
      <c r="F17" s="211">
        <f>835/56373</f>
        <v>1.4812055416600146E-2</v>
      </c>
      <c r="G17" s="211">
        <f>669/56126</f>
        <v>1.1919609450165699E-2</v>
      </c>
      <c r="H17" s="211">
        <f>+SIOO17!T56/'EXTRA - FACT'!$H$20</f>
        <v>4.8084628946946624E-4</v>
      </c>
      <c r="I17" s="211">
        <v>1.9375048340938974E-2</v>
      </c>
      <c r="J17" s="211">
        <v>1.4158109011362946E-2</v>
      </c>
      <c r="K17" s="211">
        <v>1.1556311595140803E-2</v>
      </c>
      <c r="L17" s="228">
        <v>2.3041390516879371E-2</v>
      </c>
      <c r="M17" s="228">
        <v>5.8793655754355812E-3</v>
      </c>
      <c r="N17" s="254">
        <v>1.8535940909181897E-2</v>
      </c>
      <c r="O17" s="229">
        <f t="shared" si="8"/>
        <v>0.16303814370979627</v>
      </c>
      <c r="P17" s="228">
        <f t="shared" si="7"/>
        <v>1.3586511975816356E-2</v>
      </c>
    </row>
    <row r="20" spans="2:16" x14ac:dyDescent="0.25">
      <c r="I20" s="409">
        <v>2019</v>
      </c>
    </row>
    <row r="21" spans="2:16" x14ac:dyDescent="0.25">
      <c r="B21" s="268" t="s">
        <v>39</v>
      </c>
      <c r="C21" s="211">
        <v>0.87157572471856359</v>
      </c>
      <c r="D21" s="211">
        <v>0.86838778239917913</v>
      </c>
      <c r="E21" s="211">
        <v>0.87933851504329763</v>
      </c>
      <c r="F21" s="211">
        <v>0.85403389068006297</v>
      </c>
      <c r="G21" s="211">
        <v>0.88713565953023721</v>
      </c>
      <c r="H21" s="211">
        <v>0.87923641625403226</v>
      </c>
      <c r="I21" s="211">
        <v>0.88199593822320876</v>
      </c>
      <c r="J21" s="211">
        <v>0.87293434569004025</v>
      </c>
      <c r="K21" s="211">
        <v>0.84170560747663548</v>
      </c>
      <c r="L21" s="211">
        <v>0.85318900700025924</v>
      </c>
      <c r="M21" s="228">
        <v>0.85037410620966536</v>
      </c>
      <c r="N21" s="228"/>
      <c r="O21" s="254">
        <f>SUM(C21:N21)</f>
        <v>9.5399069932251823</v>
      </c>
      <c r="P21" s="228">
        <f>+O21/11</f>
        <v>0.86726427211138024</v>
      </c>
    </row>
    <row r="22" spans="2:16" x14ac:dyDescent="0.25">
      <c r="B22" s="268" t="s">
        <v>40</v>
      </c>
      <c r="C22" s="211">
        <v>5.145581528845234E-2</v>
      </c>
      <c r="D22" s="211">
        <v>3.4061967495465126E-2</v>
      </c>
      <c r="E22" s="211">
        <v>4.081180122773849E-2</v>
      </c>
      <c r="F22" s="211">
        <v>3.7077303741471099E-2</v>
      </c>
      <c r="G22" s="211">
        <v>3.5573058208979512E-2</v>
      </c>
      <c r="H22" s="211">
        <v>3.2816046940753227E-2</v>
      </c>
      <c r="I22" s="211">
        <v>4.2896613611675245E-2</v>
      </c>
      <c r="J22" s="211">
        <v>3.4063970866114679E-2</v>
      </c>
      <c r="K22" s="211">
        <v>3.8586802605494193E-2</v>
      </c>
      <c r="L22" s="211">
        <v>3.2894736842105261E-2</v>
      </c>
      <c r="M22" s="228">
        <v>3.8372845363903313E-2</v>
      </c>
      <c r="N22" s="228"/>
      <c r="O22" s="254">
        <f t="shared" ref="O22:O25" si="9">SUM(C22:N22)</f>
        <v>0.41861096219215244</v>
      </c>
      <c r="P22" s="228">
        <f t="shared" ref="P22:P25" si="10">+O22/9</f>
        <v>4.651232913246138E-2</v>
      </c>
    </row>
    <row r="23" spans="2:16" x14ac:dyDescent="0.25">
      <c r="B23" s="268" t="s">
        <v>41</v>
      </c>
      <c r="C23" s="211">
        <v>1.2596868322862519E-2</v>
      </c>
      <c r="D23" s="211">
        <v>1.592245817835352E-2</v>
      </c>
      <c r="E23" s="211">
        <v>1.024671474920057E-2</v>
      </c>
      <c r="F23" s="211">
        <v>1.6982829721826499E-2</v>
      </c>
      <c r="G23" s="211">
        <v>1.3929797725016679E-2</v>
      </c>
      <c r="H23" s="211">
        <v>1.4615884984534509E-2</v>
      </c>
      <c r="I23" s="211">
        <v>1.0910121381004109E-2</v>
      </c>
      <c r="J23" s="211">
        <v>1.7349778403820387E-2</v>
      </c>
      <c r="K23" s="211">
        <v>1.9204899461908807E-2</v>
      </c>
      <c r="L23" s="211">
        <v>1.6965906144672024E-2</v>
      </c>
      <c r="M23" s="228">
        <v>1.6623255968279776E-2</v>
      </c>
      <c r="N23" s="228"/>
      <c r="O23" s="254">
        <f t="shared" si="9"/>
        <v>0.16534851504147938</v>
      </c>
      <c r="P23" s="228">
        <f t="shared" si="10"/>
        <v>1.8372057226831041E-2</v>
      </c>
    </row>
    <row r="24" spans="2:16" x14ac:dyDescent="0.25">
      <c r="B24" s="269" t="s">
        <v>42</v>
      </c>
      <c r="C24" s="211">
        <v>6.4371591670121506E-2</v>
      </c>
      <c r="D24" s="211">
        <v>6.042838558367078E-2</v>
      </c>
      <c r="E24" s="211">
        <v>5.4594682912027633E-2</v>
      </c>
      <c r="F24" s="211">
        <v>6.8231236409987253E-2</v>
      </c>
      <c r="G24" s="211">
        <v>5.2693123908241782E-2</v>
      </c>
      <c r="H24" s="211">
        <v>5.6790877351352069E-2</v>
      </c>
      <c r="I24" s="211">
        <v>5.0772209889954185E-2</v>
      </c>
      <c r="J24" s="211">
        <v>5.9109492561926685E-2</v>
      </c>
      <c r="K24" s="211">
        <v>7.2500708014726703E-2</v>
      </c>
      <c r="L24" s="211">
        <v>6.3520871143375679E-2</v>
      </c>
      <c r="M24" s="228">
        <v>6.7073676526701723E-2</v>
      </c>
      <c r="N24" s="228"/>
      <c r="O24" s="254">
        <f t="shared" si="9"/>
        <v>0.67008685597208606</v>
      </c>
      <c r="P24" s="228">
        <f t="shared" si="10"/>
        <v>7.4454095108009558E-2</v>
      </c>
    </row>
    <row r="25" spans="2:16" ht="23.25" x14ac:dyDescent="0.25">
      <c r="B25" s="270" t="s">
        <v>43</v>
      </c>
      <c r="C25" s="211">
        <v>3.0296265586631376E-3</v>
      </c>
      <c r="D25" s="211">
        <v>2.119940634333144E-2</v>
      </c>
      <c r="E25" s="211">
        <v>1.5008286067735686E-2</v>
      </c>
      <c r="F25" s="211">
        <v>2.367473944665217E-2</v>
      </c>
      <c r="G25" s="211">
        <v>1.6255467813885E-2</v>
      </c>
      <c r="H25" s="211">
        <v>1.6540774469327883E-2</v>
      </c>
      <c r="I25" s="211">
        <v>1.3425116894157653E-2</v>
      </c>
      <c r="J25" s="211">
        <v>1.6542412478098054E-2</v>
      </c>
      <c r="K25" s="211">
        <v>2.8001982441234776E-2</v>
      </c>
      <c r="L25" s="211">
        <v>3.3429478869587761E-2</v>
      </c>
      <c r="M25" s="228">
        <v>2.7556115931449805E-2</v>
      </c>
      <c r="N25" s="228"/>
      <c r="O25" s="254">
        <f t="shared" si="9"/>
        <v>0.21466340731412337</v>
      </c>
      <c r="P25" s="228">
        <f t="shared" si="10"/>
        <v>2.3851489701569265E-2</v>
      </c>
    </row>
  </sheetData>
  <protectedRanges>
    <protectedRange sqref="C5:N8" name="horas_1_1_1_1_1"/>
  </protectedRanges>
  <mergeCells count="3">
    <mergeCell ref="G2:I2"/>
    <mergeCell ref="G12:I12"/>
    <mergeCell ref="H11:K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G22" sqref="G22"/>
    </sheetView>
  </sheetViews>
  <sheetFormatPr baseColWidth="10" defaultRowHeight="15" x14ac:dyDescent="0.25"/>
  <sheetData>
    <row r="2" spans="1:9" x14ac:dyDescent="0.25">
      <c r="E2" s="1"/>
      <c r="F2" s="1"/>
      <c r="G2" s="1"/>
    </row>
    <row r="3" spans="1:9" x14ac:dyDescent="0.25">
      <c r="B3" s="434" t="s">
        <v>362</v>
      </c>
      <c r="C3" s="434"/>
      <c r="D3" s="434"/>
      <c r="F3" s="181"/>
      <c r="G3" s="181"/>
      <c r="H3" s="181"/>
      <c r="I3" s="181"/>
    </row>
    <row r="4" spans="1:9" x14ac:dyDescent="0.25">
      <c r="A4" s="44" t="s">
        <v>363</v>
      </c>
      <c r="B4" s="44" t="s">
        <v>364</v>
      </c>
      <c r="C4" s="44" t="s">
        <v>365</v>
      </c>
      <c r="D4" s="44" t="s">
        <v>392</v>
      </c>
    </row>
    <row r="5" spans="1:9" x14ac:dyDescent="0.25">
      <c r="A5" s="389">
        <v>1</v>
      </c>
      <c r="B5" s="389">
        <v>1</v>
      </c>
      <c r="C5" s="402" t="s">
        <v>366</v>
      </c>
      <c r="D5" s="50">
        <v>354</v>
      </c>
    </row>
    <row r="6" spans="1:9" x14ac:dyDescent="0.25">
      <c r="A6" s="389"/>
      <c r="B6" s="389">
        <v>2</v>
      </c>
      <c r="C6" s="402" t="s">
        <v>366</v>
      </c>
      <c r="D6" s="50">
        <v>464</v>
      </c>
    </row>
    <row r="7" spans="1:9" x14ac:dyDescent="0.25">
      <c r="A7" s="389">
        <v>2</v>
      </c>
      <c r="B7" s="389">
        <v>3</v>
      </c>
      <c r="C7" s="402" t="s">
        <v>366</v>
      </c>
      <c r="D7" s="50">
        <v>611</v>
      </c>
    </row>
    <row r="8" spans="1:9" x14ac:dyDescent="0.25">
      <c r="A8" s="389"/>
      <c r="B8" s="389">
        <v>4</v>
      </c>
      <c r="C8" s="402" t="s">
        <v>366</v>
      </c>
      <c r="D8" s="50">
        <v>441</v>
      </c>
    </row>
    <row r="9" spans="1:9" x14ac:dyDescent="0.25">
      <c r="A9" s="389">
        <v>3</v>
      </c>
      <c r="B9" s="389">
        <v>5</v>
      </c>
      <c r="C9" s="402" t="s">
        <v>366</v>
      </c>
      <c r="D9" s="50">
        <v>515</v>
      </c>
    </row>
    <row r="10" spans="1:9" x14ac:dyDescent="0.25">
      <c r="A10" s="389">
        <v>4</v>
      </c>
      <c r="B10" s="389">
        <v>6</v>
      </c>
      <c r="C10" s="402" t="s">
        <v>366</v>
      </c>
      <c r="D10" s="50">
        <v>577</v>
      </c>
    </row>
    <row r="11" spans="1:9" x14ac:dyDescent="0.25">
      <c r="A11" s="481">
        <v>5</v>
      </c>
      <c r="B11" s="389">
        <v>7</v>
      </c>
      <c r="C11" s="402" t="s">
        <v>367</v>
      </c>
      <c r="D11" s="50">
        <v>97</v>
      </c>
    </row>
    <row r="12" spans="1:9" x14ac:dyDescent="0.25">
      <c r="A12" s="482"/>
      <c r="B12" s="389">
        <v>8</v>
      </c>
      <c r="C12" s="402" t="s">
        <v>368</v>
      </c>
      <c r="D12" s="50">
        <v>4</v>
      </c>
    </row>
    <row r="13" spans="1:9" x14ac:dyDescent="0.25">
      <c r="A13" s="482"/>
      <c r="B13" s="389">
        <v>9</v>
      </c>
      <c r="C13" s="402" t="s">
        <v>369</v>
      </c>
      <c r="D13" s="50">
        <v>36</v>
      </c>
    </row>
    <row r="14" spans="1:9" x14ac:dyDescent="0.25">
      <c r="A14" s="482"/>
      <c r="B14" s="389">
        <v>10</v>
      </c>
      <c r="C14" s="402" t="s">
        <v>370</v>
      </c>
      <c r="D14" s="50">
        <v>35</v>
      </c>
    </row>
    <row r="15" spans="1:9" x14ac:dyDescent="0.25">
      <c r="A15" s="483"/>
      <c r="B15" s="389">
        <v>11</v>
      </c>
      <c r="C15" s="402" t="s">
        <v>371</v>
      </c>
      <c r="D15" s="50">
        <v>42</v>
      </c>
    </row>
    <row r="16" spans="1:9" x14ac:dyDescent="0.25">
      <c r="A16" s="481">
        <v>6</v>
      </c>
      <c r="B16" s="389">
        <v>12</v>
      </c>
      <c r="C16" s="402" t="s">
        <v>372</v>
      </c>
      <c r="D16" s="50">
        <v>46</v>
      </c>
    </row>
    <row r="17" spans="1:4" x14ac:dyDescent="0.25">
      <c r="A17" s="482"/>
      <c r="B17" s="389">
        <v>13</v>
      </c>
      <c r="C17" s="402" t="s">
        <v>373</v>
      </c>
      <c r="D17" s="50">
        <v>118</v>
      </c>
    </row>
    <row r="18" spans="1:4" x14ac:dyDescent="0.25">
      <c r="A18" s="483"/>
      <c r="B18" s="389">
        <v>14</v>
      </c>
      <c r="C18" s="402" t="s">
        <v>374</v>
      </c>
      <c r="D18" s="50">
        <v>94</v>
      </c>
    </row>
    <row r="19" spans="1:4" x14ac:dyDescent="0.25">
      <c r="A19" s="478">
        <v>7</v>
      </c>
      <c r="B19" s="188">
        <v>15</v>
      </c>
      <c r="C19" s="401" t="s">
        <v>375</v>
      </c>
      <c r="D19" s="404">
        <v>34</v>
      </c>
    </row>
    <row r="20" spans="1:4" x14ac:dyDescent="0.25">
      <c r="A20" s="480"/>
      <c r="B20" s="188">
        <v>16</v>
      </c>
      <c r="C20" s="401" t="s">
        <v>376</v>
      </c>
      <c r="D20" s="53">
        <v>50</v>
      </c>
    </row>
    <row r="21" spans="1:4" x14ac:dyDescent="0.25">
      <c r="A21" s="480"/>
      <c r="B21" s="188">
        <v>17</v>
      </c>
      <c r="C21" s="401" t="s">
        <v>377</v>
      </c>
      <c r="D21" s="53">
        <v>429</v>
      </c>
    </row>
    <row r="22" spans="1:4" x14ac:dyDescent="0.25">
      <c r="A22" s="479"/>
      <c r="B22" s="188">
        <v>18</v>
      </c>
      <c r="C22" s="401" t="s">
        <v>378</v>
      </c>
      <c r="D22" s="53">
        <v>5</v>
      </c>
    </row>
    <row r="23" spans="1:4" x14ac:dyDescent="0.25">
      <c r="A23" s="478">
        <v>8</v>
      </c>
      <c r="B23" s="188">
        <v>19</v>
      </c>
      <c r="C23" s="401" t="s">
        <v>379</v>
      </c>
      <c r="D23" s="53">
        <v>140</v>
      </c>
    </row>
    <row r="24" spans="1:4" x14ac:dyDescent="0.25">
      <c r="A24" s="480"/>
      <c r="B24" s="188">
        <v>20</v>
      </c>
      <c r="C24" s="401" t="s">
        <v>380</v>
      </c>
      <c r="D24" s="53">
        <v>14</v>
      </c>
    </row>
    <row r="25" spans="1:4" x14ac:dyDescent="0.25">
      <c r="A25" s="480"/>
      <c r="B25" s="188">
        <v>21</v>
      </c>
      <c r="C25" s="401" t="s">
        <v>381</v>
      </c>
      <c r="D25" s="53">
        <v>33</v>
      </c>
    </row>
    <row r="26" spans="1:4" x14ac:dyDescent="0.25">
      <c r="A26" s="480"/>
      <c r="B26" s="188">
        <v>22</v>
      </c>
      <c r="C26" s="401" t="s">
        <v>382</v>
      </c>
      <c r="D26" s="53">
        <v>86</v>
      </c>
    </row>
    <row r="27" spans="1:4" x14ac:dyDescent="0.25">
      <c r="A27" s="479"/>
      <c r="B27" s="188">
        <v>23</v>
      </c>
      <c r="C27" s="401" t="s">
        <v>383</v>
      </c>
      <c r="D27" s="53">
        <v>150</v>
      </c>
    </row>
    <row r="28" spans="1:4" x14ac:dyDescent="0.25">
      <c r="A28" s="478">
        <v>9</v>
      </c>
      <c r="B28" s="188">
        <v>24</v>
      </c>
      <c r="C28" s="401" t="s">
        <v>384</v>
      </c>
      <c r="D28" s="53">
        <v>357</v>
      </c>
    </row>
    <row r="29" spans="1:4" x14ac:dyDescent="0.25">
      <c r="A29" s="479"/>
      <c r="B29" s="188">
        <v>25</v>
      </c>
      <c r="C29" s="401" t="s">
        <v>384</v>
      </c>
      <c r="D29" s="53">
        <v>359</v>
      </c>
    </row>
    <row r="30" spans="1:4" x14ac:dyDescent="0.25">
      <c r="A30" s="478">
        <v>10</v>
      </c>
      <c r="B30" s="188">
        <v>26</v>
      </c>
      <c r="C30" s="401" t="s">
        <v>385</v>
      </c>
      <c r="D30" s="53">
        <v>34</v>
      </c>
    </row>
    <row r="31" spans="1:4" x14ac:dyDescent="0.25">
      <c r="A31" s="479"/>
      <c r="B31" s="188">
        <v>27</v>
      </c>
      <c r="C31" s="401" t="s">
        <v>386</v>
      </c>
      <c r="D31" s="53">
        <v>133</v>
      </c>
    </row>
    <row r="32" spans="1:4" x14ac:dyDescent="0.25">
      <c r="A32" s="478">
        <v>11</v>
      </c>
      <c r="B32" s="188">
        <v>28</v>
      </c>
      <c r="C32" s="401" t="s">
        <v>387</v>
      </c>
      <c r="D32" s="53">
        <v>44</v>
      </c>
    </row>
    <row r="33" spans="1:4" x14ac:dyDescent="0.25">
      <c r="A33" s="480"/>
      <c r="B33" s="188">
        <v>29</v>
      </c>
      <c r="C33" s="401" t="s">
        <v>388</v>
      </c>
      <c r="D33" s="53">
        <v>39</v>
      </c>
    </row>
    <row r="34" spans="1:4" x14ac:dyDescent="0.25">
      <c r="A34" s="480"/>
      <c r="B34" s="188">
        <v>30</v>
      </c>
      <c r="C34" s="401" t="s">
        <v>389</v>
      </c>
      <c r="D34" s="53">
        <v>153</v>
      </c>
    </row>
    <row r="35" spans="1:4" x14ac:dyDescent="0.25">
      <c r="A35" s="480"/>
      <c r="B35" s="188">
        <v>31</v>
      </c>
      <c r="C35" s="401" t="s">
        <v>390</v>
      </c>
      <c r="D35" s="53">
        <v>35</v>
      </c>
    </row>
    <row r="36" spans="1:4" x14ac:dyDescent="0.25">
      <c r="A36" s="479"/>
      <c r="B36" s="188">
        <v>32</v>
      </c>
      <c r="C36" s="401" t="s">
        <v>391</v>
      </c>
      <c r="D36" s="404">
        <v>375</v>
      </c>
    </row>
  </sheetData>
  <mergeCells count="8">
    <mergeCell ref="A28:A29"/>
    <mergeCell ref="A30:A31"/>
    <mergeCell ref="A32:A36"/>
    <mergeCell ref="B3:D3"/>
    <mergeCell ref="A11:A15"/>
    <mergeCell ref="A16:A18"/>
    <mergeCell ref="A19:A22"/>
    <mergeCell ref="A23:A27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9"/>
  <sheetViews>
    <sheetView workbookViewId="0">
      <selection activeCell="P23" sqref="P23"/>
    </sheetView>
  </sheetViews>
  <sheetFormatPr baseColWidth="10" defaultRowHeight="15" x14ac:dyDescent="0.25"/>
  <sheetData>
    <row r="4" spans="2:16" x14ac:dyDescent="0.25">
      <c r="B4" s="1"/>
      <c r="C4" s="1"/>
      <c r="D4" s="434" t="s">
        <v>394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1"/>
    </row>
    <row r="5" spans="2:16" x14ac:dyDescent="0.25">
      <c r="B5" s="486" t="s">
        <v>395</v>
      </c>
      <c r="C5" s="486"/>
      <c r="D5" s="405" t="s">
        <v>396</v>
      </c>
      <c r="E5" s="405" t="s">
        <v>5</v>
      </c>
      <c r="F5" s="405" t="s">
        <v>6</v>
      </c>
      <c r="G5" s="405" t="s">
        <v>7</v>
      </c>
      <c r="H5" s="405" t="s">
        <v>8</v>
      </c>
      <c r="I5" s="405" t="s">
        <v>9</v>
      </c>
      <c r="J5" s="405" t="s">
        <v>10</v>
      </c>
      <c r="K5" s="405" t="s">
        <v>11</v>
      </c>
      <c r="L5" s="405" t="s">
        <v>12</v>
      </c>
      <c r="M5" s="405" t="s">
        <v>13</v>
      </c>
      <c r="N5" s="405" t="s">
        <v>14</v>
      </c>
      <c r="O5" s="405" t="s">
        <v>15</v>
      </c>
      <c r="P5" s="1"/>
    </row>
    <row r="6" spans="2:16" x14ac:dyDescent="0.25">
      <c r="B6" s="444" t="s">
        <v>397</v>
      </c>
      <c r="C6" s="444"/>
      <c r="D6" s="410">
        <f>49674.9066666667/49675</f>
        <v>0.99999812112061803</v>
      </c>
      <c r="E6" s="410">
        <f t="shared" ref="E6:G7" si="0">49674.9066666667/49675</f>
        <v>0.99999812112061803</v>
      </c>
      <c r="F6" s="410">
        <f t="shared" si="0"/>
        <v>0.99999812112061803</v>
      </c>
      <c r="G6" s="410">
        <f t="shared" si="0"/>
        <v>0.99999812112061803</v>
      </c>
      <c r="H6" s="411">
        <v>0.99999812112061803</v>
      </c>
      <c r="I6" s="411">
        <v>0.99999812112061803</v>
      </c>
      <c r="J6" s="411">
        <v>0.99999812112061803</v>
      </c>
      <c r="K6" s="411">
        <v>0.99999812112061803</v>
      </c>
      <c r="L6" s="411">
        <v>0.99999812112061803</v>
      </c>
      <c r="M6" s="411">
        <v>0.99999812112061803</v>
      </c>
      <c r="N6" s="411">
        <v>0.99999812112061803</v>
      </c>
      <c r="O6" s="405"/>
      <c r="P6" s="1"/>
    </row>
    <row r="7" spans="2:16" x14ac:dyDescent="0.25">
      <c r="B7" s="444" t="s">
        <v>398</v>
      </c>
      <c r="C7" s="444"/>
      <c r="D7" s="410">
        <f>49674.9066666667/49675</f>
        <v>0.99999812112061803</v>
      </c>
      <c r="E7" s="410">
        <f t="shared" si="0"/>
        <v>0.99999812112061803</v>
      </c>
      <c r="F7" s="410">
        <f t="shared" si="0"/>
        <v>0.99999812112061803</v>
      </c>
      <c r="G7" s="410">
        <f t="shared" si="0"/>
        <v>0.99999812112061803</v>
      </c>
      <c r="H7" s="411">
        <v>0.99999812112061803</v>
      </c>
      <c r="I7" s="411">
        <v>0.99999812112061803</v>
      </c>
      <c r="J7" s="411">
        <v>0.99999812112061803</v>
      </c>
      <c r="K7" s="411">
        <v>0.99999812112061803</v>
      </c>
      <c r="L7" s="411">
        <v>0.99999812112061803</v>
      </c>
      <c r="M7" s="411">
        <v>0.99999812112061803</v>
      </c>
      <c r="N7" s="411">
        <v>0.99999812112061803</v>
      </c>
      <c r="O7" s="405"/>
      <c r="P7" s="1"/>
    </row>
    <row r="8" spans="2:16" x14ac:dyDescent="0.25">
      <c r="B8" s="444" t="s">
        <v>399</v>
      </c>
      <c r="C8" s="444"/>
      <c r="D8" s="228">
        <f>(36/6178)*100</f>
        <v>0.58271285205568146</v>
      </c>
      <c r="E8" s="228">
        <f>(46/6190)*100</f>
        <v>0.74313408723747976</v>
      </c>
      <c r="F8" s="228">
        <f>(31/6206)*100</f>
        <v>0.49951659684176603</v>
      </c>
      <c r="G8" s="228">
        <f>(57/6211)*100</f>
        <v>0.91772661407180811</v>
      </c>
      <c r="H8" s="228">
        <f>(47/6219)*100</f>
        <v>0.75574851262260823</v>
      </c>
      <c r="I8" s="228">
        <f>(53/6222)*100</f>
        <v>0.85181613629058184</v>
      </c>
      <c r="J8" s="228">
        <f>(41/6222)*100</f>
        <v>0.65895210543233684</v>
      </c>
      <c r="K8" s="228">
        <f>(56/6222)*100</f>
        <v>0.90003214400514298</v>
      </c>
      <c r="L8" s="228">
        <f>(58/6222)*100</f>
        <v>0.93217614914818392</v>
      </c>
      <c r="M8" s="228">
        <f>(48/6217)*100</f>
        <v>0.77207656425928906</v>
      </c>
      <c r="N8" s="228">
        <f>(30/6227)*100</f>
        <v>0.48177292436165087</v>
      </c>
      <c r="O8" s="405"/>
      <c r="P8" s="1"/>
    </row>
    <row r="9" spans="2:16" x14ac:dyDescent="0.25">
      <c r="B9" s="444" t="s">
        <v>34</v>
      </c>
      <c r="C9" s="444"/>
      <c r="D9" s="228">
        <f>22/6178</f>
        <v>3.56102298478472E-3</v>
      </c>
      <c r="E9" s="228">
        <f>22/6190</f>
        <v>3.5541195476575119E-3</v>
      </c>
      <c r="F9" s="228">
        <f>22/6206</f>
        <v>3.544956493715759E-3</v>
      </c>
      <c r="G9" s="228">
        <f>22/6211</f>
        <v>3.5421027209789082E-3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405"/>
      <c r="P9" s="1"/>
    </row>
    <row r="10" spans="2:16" x14ac:dyDescent="0.25">
      <c r="B10" s="444" t="s">
        <v>400</v>
      </c>
      <c r="C10" s="444"/>
      <c r="D10" s="228">
        <f>6/7</f>
        <v>0.8571428571428571</v>
      </c>
      <c r="E10" s="228">
        <f t="shared" ref="E10:I10" si="1">6/7</f>
        <v>0.8571428571428571</v>
      </c>
      <c r="F10" s="228">
        <f t="shared" si="1"/>
        <v>0.8571428571428571</v>
      </c>
      <c r="G10" s="228">
        <f t="shared" si="1"/>
        <v>0.8571428571428571</v>
      </c>
      <c r="H10" s="228">
        <f t="shared" si="1"/>
        <v>0.8571428571428571</v>
      </c>
      <c r="I10" s="228">
        <f t="shared" si="1"/>
        <v>0.8571428571428571</v>
      </c>
      <c r="J10" s="228">
        <f>6/7</f>
        <v>0.8571428571428571</v>
      </c>
      <c r="K10" s="228">
        <f>6/7</f>
        <v>0.8571428571428571</v>
      </c>
      <c r="L10" s="228">
        <f>6/7</f>
        <v>0.8571428571428571</v>
      </c>
      <c r="M10" s="228">
        <f>6/7</f>
        <v>0.8571428571428571</v>
      </c>
      <c r="N10" s="228">
        <f>6/7</f>
        <v>0.8571428571428571</v>
      </c>
      <c r="O10" s="405"/>
      <c r="P10" s="1"/>
    </row>
    <row r="11" spans="2:16" x14ac:dyDescent="0.25">
      <c r="B11" s="444" t="s">
        <v>401</v>
      </c>
      <c r="C11" s="444"/>
      <c r="D11" s="228">
        <v>0.83182259630948496</v>
      </c>
      <c r="E11" s="228">
        <f>5151/6190</f>
        <v>0.8321486268174475</v>
      </c>
      <c r="F11" s="228">
        <f>5167/6206</f>
        <v>0.83258137286496936</v>
      </c>
      <c r="G11" s="228">
        <f>5172/6211</f>
        <v>0.83271614876831423</v>
      </c>
      <c r="H11" s="228">
        <f>5191/6219</f>
        <v>0.83470011255828913</v>
      </c>
      <c r="I11" s="228">
        <f>5199/6222</f>
        <v>0.83558341369334621</v>
      </c>
      <c r="J11" s="228">
        <f>5209/6222</f>
        <v>0.83719061395049821</v>
      </c>
      <c r="K11" s="228">
        <f>5369/6222</f>
        <v>0.86290581806493094</v>
      </c>
      <c r="L11" s="228">
        <f>5382/6222</f>
        <v>0.86499517839922857</v>
      </c>
      <c r="M11" s="228">
        <f>5396/6217</f>
        <v>0.86794273765481744</v>
      </c>
      <c r="N11" s="228">
        <f>5406/6227</f>
        <v>0.86815480969969483</v>
      </c>
      <c r="O11" s="405"/>
      <c r="P11" s="1"/>
    </row>
    <row r="12" spans="2:16" x14ac:dyDescent="0.25">
      <c r="B12" s="444" t="s">
        <v>402</v>
      </c>
      <c r="C12" s="444"/>
      <c r="D12" s="228">
        <f>+'[11]TRATAMIENTO DE AGUA'!$B$27/'[11]EXTRACC. POZOS'!$F$31</f>
        <v>0.20664770057942267</v>
      </c>
      <c r="E12" s="228">
        <f>+'[11]TRATAMIENTO DE AGUA'!$C$27/'[11]EXTRACC. POZOS'!$G$31</f>
        <v>0.25932219505569137</v>
      </c>
      <c r="F12" s="228">
        <f>+'[11]TRATAMIENTO DE AGUA'!$D$27/'[11]EXTRACC. POZOS'!$H$31</f>
        <v>0.20532132273490741</v>
      </c>
      <c r="G12" s="228">
        <f>+'[11]TRATAMIENTO DE AGUA'!$E$27/'[11]EXTRACC. POZOS'!$I$31</f>
        <v>0.20374319131866739</v>
      </c>
      <c r="H12" s="412">
        <f>+'[11]TRATAMIENTO DE AGUA'!$F$27/'[11]EXTRACC. POZOS'!$J$31</f>
        <v>0.17616931823610912</v>
      </c>
      <c r="I12" s="412">
        <f>+'[11]TRATAMIENTO DE AGUA'!$G$27/'[11]EXTRACC. POZOS'!$K$31</f>
        <v>0.20758021420392034</v>
      </c>
      <c r="J12" s="412">
        <f>+'[11]TRATAMIENTO DE AGUA'!$H$27/'[11]EXTRACC. POZOS'!$L$31</f>
        <v>0.22039225546894645</v>
      </c>
      <c r="K12" s="412">
        <v>0.21361696377293049</v>
      </c>
      <c r="L12" s="412">
        <v>0.19982015418628363</v>
      </c>
      <c r="M12" s="412">
        <v>0.19694613844793074</v>
      </c>
      <c r="N12" s="228">
        <f>+'[11]TRATAMIENTO DE AGUA'!$L$27/'[11]EXTRACC. POZOS'!$P$31</f>
        <v>0.17670886383811851</v>
      </c>
      <c r="O12" s="405"/>
      <c r="P12" s="1"/>
    </row>
    <row r="13" spans="2:16" x14ac:dyDescent="0.25">
      <c r="B13" s="444" t="s">
        <v>403</v>
      </c>
      <c r="C13" s="444"/>
      <c r="D13" s="229">
        <v>112.05217442166526</v>
      </c>
      <c r="E13" s="229">
        <v>118.88613285791799</v>
      </c>
      <c r="F13" s="229">
        <v>136.28285037361033</v>
      </c>
      <c r="G13" s="229">
        <v>142.59995183044319</v>
      </c>
      <c r="H13" s="229">
        <v>156.91345807844547</v>
      </c>
      <c r="I13" s="229">
        <v>133.36028266858304</v>
      </c>
      <c r="J13" s="229">
        <v>126.68321520534573</v>
      </c>
      <c r="K13" s="229">
        <v>128.60502770480267</v>
      </c>
      <c r="L13" s="229">
        <v>130.22017363286494</v>
      </c>
      <c r="M13" s="229">
        <v>123.74952832770207</v>
      </c>
      <c r="N13" s="229">
        <v>122.32684755444484</v>
      </c>
      <c r="O13" s="405"/>
      <c r="P13" s="1"/>
    </row>
    <row r="14" spans="2:16" x14ac:dyDescent="0.25">
      <c r="B14" s="444" t="s">
        <v>404</v>
      </c>
      <c r="C14" s="444"/>
      <c r="D14" s="229">
        <v>78.602620637353525</v>
      </c>
      <c r="E14" s="229">
        <v>105.37915091352336</v>
      </c>
      <c r="F14" s="229">
        <v>103.27264434077914</v>
      </c>
      <c r="G14" s="229">
        <v>111.56</v>
      </c>
      <c r="H14" s="229">
        <v>121.91775825555568</v>
      </c>
      <c r="I14" s="405">
        <v>121.47</v>
      </c>
      <c r="J14" s="229">
        <v>100.05814025240393</v>
      </c>
      <c r="K14" s="405">
        <v>96.03</v>
      </c>
      <c r="L14" s="229">
        <v>103.35169038182426</v>
      </c>
      <c r="M14" s="229">
        <v>103.21</v>
      </c>
      <c r="N14" s="405">
        <v>96.49</v>
      </c>
      <c r="O14" s="405"/>
      <c r="P14" s="1"/>
    </row>
    <row r="15" spans="2:16" x14ac:dyDescent="0.25">
      <c r="B15" s="444" t="s">
        <v>405</v>
      </c>
      <c r="C15" s="444"/>
      <c r="D15" s="228">
        <f>5/24</f>
        <v>0.20833333333333334</v>
      </c>
      <c r="E15" s="228">
        <f t="shared" ref="E15:N15" si="2">5/24</f>
        <v>0.20833333333333334</v>
      </c>
      <c r="F15" s="228">
        <f t="shared" si="2"/>
        <v>0.20833333333333334</v>
      </c>
      <c r="G15" s="228">
        <f t="shared" si="2"/>
        <v>0.20833333333333334</v>
      </c>
      <c r="H15" s="228">
        <f t="shared" si="2"/>
        <v>0.20833333333333334</v>
      </c>
      <c r="I15" s="228">
        <f t="shared" si="2"/>
        <v>0.20833333333333334</v>
      </c>
      <c r="J15" s="228">
        <f t="shared" si="2"/>
        <v>0.20833333333333334</v>
      </c>
      <c r="K15" s="228">
        <f t="shared" si="2"/>
        <v>0.20833333333333334</v>
      </c>
      <c r="L15" s="228">
        <f t="shared" si="2"/>
        <v>0.20833333333333334</v>
      </c>
      <c r="M15" s="228">
        <f t="shared" si="2"/>
        <v>0.20833333333333334</v>
      </c>
      <c r="N15" s="228">
        <f t="shared" si="2"/>
        <v>0.20833333333333334</v>
      </c>
      <c r="O15" s="405"/>
      <c r="P15" s="1"/>
    </row>
    <row r="16" spans="2:16" x14ac:dyDescent="0.25">
      <c r="B16" s="484"/>
      <c r="C16" s="48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444" t="s">
        <v>406</v>
      </c>
      <c r="C17" s="444"/>
      <c r="D17" s="229">
        <f>+(5421/6178)*100</f>
        <v>87.746843638718033</v>
      </c>
      <c r="E17" s="229">
        <f>+(5465/6190)*100</f>
        <v>88.287560581583207</v>
      </c>
      <c r="F17" s="229">
        <f>+(5468/6206)*100</f>
        <v>88.108282307444412</v>
      </c>
      <c r="G17" s="229">
        <f>+(5485/6211)*100</f>
        <v>88.3110610207696</v>
      </c>
      <c r="H17" s="229">
        <f>+(5504/6219)*100</f>
        <v>88.502974754783722</v>
      </c>
      <c r="I17" s="229">
        <f>+(5512/6222)*100</f>
        <v>88.588878174220511</v>
      </c>
      <c r="J17" s="229">
        <f>+(5522/6222)*100</f>
        <v>88.749598199935704</v>
      </c>
      <c r="K17" s="229">
        <f>+(5528/6222)*100</f>
        <v>88.846030215364834</v>
      </c>
      <c r="L17" s="229">
        <f>+(5541/6222)*100</f>
        <v>89.054966248794599</v>
      </c>
      <c r="M17" s="229">
        <f>+(5554/6222)*100</f>
        <v>89.263902282224365</v>
      </c>
      <c r="N17" s="229">
        <f>+(5105/5910)*100</f>
        <v>86.379018612521151</v>
      </c>
      <c r="O17" s="405"/>
      <c r="P17" s="1"/>
    </row>
    <row r="18" spans="2:16" x14ac:dyDescent="0.25">
      <c r="B18" s="444" t="s">
        <v>407</v>
      </c>
      <c r="C18" s="444"/>
      <c r="D18" s="229">
        <f>+(3837/6178)*100</f>
        <v>62.107478148268044</v>
      </c>
      <c r="E18" s="229">
        <f>+(3671/6190)*100</f>
        <v>59.305331179321485</v>
      </c>
      <c r="F18" s="229">
        <f>+(4161/6206)*100</f>
        <v>67.048018047051244</v>
      </c>
      <c r="G18" s="229">
        <f>+(4230/6211)*100</f>
        <v>68.104975044276287</v>
      </c>
      <c r="H18" s="229">
        <f>+(4281/6219)*100</f>
        <v>68.837433671008199</v>
      </c>
      <c r="I18" s="229">
        <f>+(3982/6222)*100</f>
        <v>63.998714239794275</v>
      </c>
      <c r="J18" s="229">
        <f>+(3608/6222)*100</f>
        <v>57.987785278045642</v>
      </c>
      <c r="K18" s="229">
        <f>+(3780/6222)*100</f>
        <v>60.752169720347162</v>
      </c>
      <c r="L18" s="229">
        <f>+(4070/6222)*100</f>
        <v>65.41305046608808</v>
      </c>
      <c r="M18" s="229">
        <f>+(3665/6217)*100</f>
        <v>58.951262666881135</v>
      </c>
      <c r="N18" s="229">
        <f>+(3624/5910)*100</f>
        <v>61.319796954314718</v>
      </c>
      <c r="O18" s="405"/>
      <c r="P18" s="1"/>
    </row>
    <row r="19" spans="2:16" x14ac:dyDescent="0.25">
      <c r="B19" s="444" t="s">
        <v>408</v>
      </c>
      <c r="C19" s="444"/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1</v>
      </c>
      <c r="J19" s="405">
        <v>0</v>
      </c>
      <c r="K19" s="405">
        <v>4</v>
      </c>
      <c r="L19" s="405">
        <v>4</v>
      </c>
      <c r="M19" s="405">
        <v>4</v>
      </c>
      <c r="N19" s="405">
        <v>4</v>
      </c>
      <c r="O19" s="405"/>
      <c r="P19" s="1"/>
    </row>
    <row r="20" spans="2:16" x14ac:dyDescent="0.25">
      <c r="B20" s="444" t="s">
        <v>409</v>
      </c>
      <c r="C20" s="444"/>
      <c r="D20" s="229">
        <f>+(42*1000)/6178</f>
        <v>6.7983166073162833</v>
      </c>
      <c r="E20" s="229">
        <f>+(34*1000)/6190</f>
        <v>5.4927302100161555</v>
      </c>
      <c r="F20" s="229">
        <f>+(36*1000)/6206</f>
        <v>5.8008378988076057</v>
      </c>
      <c r="G20" s="229">
        <f>+(31*1000)/6211</f>
        <v>4.9911447431975526</v>
      </c>
      <c r="H20" s="229">
        <f>+(7*1000)/6219</f>
        <v>1.1255828911400547</v>
      </c>
      <c r="I20" s="229">
        <f>+(4*1000)/6222</f>
        <v>0.64288010286081643</v>
      </c>
      <c r="J20" s="229">
        <f>+(4*1000)/6222</f>
        <v>0.64288010286081643</v>
      </c>
      <c r="K20" s="229">
        <f>+(4*1000)/6222</f>
        <v>0.64288010286081643</v>
      </c>
      <c r="L20" s="229">
        <f>+(4*1000)/6222</f>
        <v>0.64288010286081643</v>
      </c>
      <c r="M20" s="229">
        <f>+(5*1000)/6217</f>
        <v>0.80424642110342603</v>
      </c>
      <c r="N20" s="229">
        <f>+(2*1000)/5910</f>
        <v>0.33840947546531303</v>
      </c>
      <c r="O20" s="405"/>
      <c r="P20" s="1"/>
    </row>
    <row r="21" spans="2:16" x14ac:dyDescent="0.25">
      <c r="B21" s="444" t="s">
        <v>410</v>
      </c>
      <c r="C21" s="444"/>
      <c r="D21" s="229">
        <f>+(39*1000)/6178</f>
        <v>6.312722563936549</v>
      </c>
      <c r="E21" s="229">
        <f>+(41*1000)/6190</f>
        <v>6.6235864297253633</v>
      </c>
      <c r="F21" s="229">
        <f>+(40*1000)/6206</f>
        <v>6.4453754431195618</v>
      </c>
      <c r="G21" s="229">
        <f>+(40*1000)/6211</f>
        <v>6.4401867654161968</v>
      </c>
      <c r="H21" s="229">
        <f>+(40*1000)/6219</f>
        <v>6.4319022350860271</v>
      </c>
      <c r="I21" s="229">
        <f>+(40*1000)/6222</f>
        <v>6.4288010286081647</v>
      </c>
      <c r="J21" s="229">
        <f>+(40*1000)/6222</f>
        <v>6.4288010286081647</v>
      </c>
      <c r="K21" s="229">
        <f>+(40*1000)/6222</f>
        <v>6.4288010286081647</v>
      </c>
      <c r="L21" s="229">
        <f>+(40*1000)/6222</f>
        <v>6.4288010286081647</v>
      </c>
      <c r="M21" s="229">
        <f>+(40*1000)/6217</f>
        <v>6.4339713688274083</v>
      </c>
      <c r="N21" s="229">
        <f>+(40*1000)/6217</f>
        <v>6.4339713688274083</v>
      </c>
      <c r="O21" s="405"/>
      <c r="P21" s="1"/>
    </row>
    <row r="22" spans="2:16" x14ac:dyDescent="0.25">
      <c r="B22" s="485" t="s">
        <v>411</v>
      </c>
      <c r="C22" s="485"/>
      <c r="D22" s="413">
        <f>+(14*1000)/55</f>
        <v>254.54545454545453</v>
      </c>
      <c r="E22" s="413">
        <f>+(14*1000)/60</f>
        <v>233.33333333333334</v>
      </c>
      <c r="F22" s="414">
        <f>+(14*1000)/40</f>
        <v>350</v>
      </c>
      <c r="G22" s="413">
        <f>+(14*1000)/62</f>
        <v>225.80645161290323</v>
      </c>
      <c r="H22" s="415">
        <f>+(14*1000)/64</f>
        <v>218.75</v>
      </c>
      <c r="I22" s="416">
        <f>+(14*1000)/71</f>
        <v>197.18309859154928</v>
      </c>
      <c r="J22" s="416">
        <f>+(14*1000)/56</f>
        <v>250</v>
      </c>
      <c r="K22" s="416">
        <f>+(14*1000)/56</f>
        <v>250</v>
      </c>
      <c r="L22" s="416">
        <f>+(14*1000)/68</f>
        <v>205.88235294117646</v>
      </c>
      <c r="M22" s="416">
        <f>+(14*1000)/65</f>
        <v>215.38461538461539</v>
      </c>
      <c r="N22" s="416">
        <f>+(14*1000)/37</f>
        <v>378.37837837837839</v>
      </c>
      <c r="O22" s="417"/>
      <c r="P22" s="1"/>
    </row>
    <row r="23" spans="2:16" x14ac:dyDescent="0.25">
      <c r="B23" s="444" t="s">
        <v>412</v>
      </c>
      <c r="C23" s="444"/>
      <c r="D23" s="229">
        <f>(6178*4)/21940*100</f>
        <v>112.6344576116682</v>
      </c>
      <c r="E23" s="229">
        <f>(6190*4)/21952*100</f>
        <v>112.79154518950438</v>
      </c>
      <c r="F23" s="229">
        <f>(6206*4)/21960*100</f>
        <v>113.04189435336976</v>
      </c>
      <c r="G23" s="229">
        <f>(6211*4)/21965*100</f>
        <v>113.10721602549512</v>
      </c>
      <c r="H23" s="229">
        <f>(5332*4)/21965*100</f>
        <v>97.099931709537898</v>
      </c>
      <c r="I23" s="229">
        <f>(5340*4)/21997*100</f>
        <v>97.104150565986274</v>
      </c>
      <c r="J23" s="229">
        <f>(5350*4)/21997*100</f>
        <v>97.285993544574254</v>
      </c>
      <c r="K23" s="229">
        <f>(5351*4)/21997*100</f>
        <v>97.304177842433063</v>
      </c>
      <c r="L23" s="229">
        <f>(5364*4)/21997*100</f>
        <v>97.540573714597443</v>
      </c>
      <c r="M23" s="229">
        <f>(5377*4)/22049*100</f>
        <v>97.546373985214757</v>
      </c>
      <c r="N23" s="229">
        <f>(5410*4)/22049*100</f>
        <v>98.145040591410037</v>
      </c>
      <c r="O23" s="405"/>
      <c r="P23" s="1"/>
    </row>
    <row r="24" spans="2:16" x14ac:dyDescent="0.25">
      <c r="B24" s="444" t="s">
        <v>413</v>
      </c>
      <c r="C24" s="444"/>
      <c r="D24" s="229">
        <f>+('[11]EXTRA - FACT'!$C$28-'[11]EXTRA - FACT'!$C$29)/G37</f>
        <v>0.28010118052897531</v>
      </c>
      <c r="E24" s="229">
        <f>+('[11]EXTRA - FACT'!$D$28-'[11]EXTRA - FACT'!$D$29)/G37</f>
        <v>0.38335250688610584</v>
      </c>
      <c r="F24" s="229">
        <f>+('[11]EXTRA - FACT'!$E$28-'[11]EXTRA - FACT'!$E$29)/G37</f>
        <v>0.61314659742356836</v>
      </c>
      <c r="G24" s="229">
        <f>+('[11]EXTRA - FACT'!$F$28-'[11]EXTRA - FACT'!$F$29)/G37</f>
        <v>0.63555227615928411</v>
      </c>
      <c r="H24" s="229">
        <f>+'[11]EXTRA - FACT'!$G$30/G37</f>
        <v>0.71235161522195778</v>
      </c>
      <c r="I24" s="229">
        <f>+'[11]EXTRA - FACT'!$H$30/G37</f>
        <v>0.27476649511570966</v>
      </c>
      <c r="J24" s="229">
        <f>+'[11]EXTRACC. POZOS'!$L$31/G37</f>
        <v>1.761331945465155</v>
      </c>
      <c r="K24" s="229">
        <f>+'[11]EXTRA - FACT'!$J$30/G37</f>
        <v>0.6157434820209694</v>
      </c>
      <c r="L24" s="229">
        <f>+'[11]EXTRA - FACT'!$K$30/G37</f>
        <v>0.62005149212828581</v>
      </c>
      <c r="M24" s="229">
        <f>+'[11]EXTRA - FACT'!$L$30/G37</f>
        <v>0.48740906877731421</v>
      </c>
      <c r="N24" s="229">
        <f>+'[11]EXTRA - FACT'!$M$30/G37</f>
        <v>0.4419937846553243</v>
      </c>
      <c r="O24" s="405"/>
      <c r="P24" s="1"/>
    </row>
    <row r="25" spans="2:16" x14ac:dyDescent="0.25">
      <c r="B25" s="444" t="s">
        <v>414</v>
      </c>
      <c r="C25" s="444"/>
      <c r="D25" s="229">
        <f>+('[11]EXTRA - FACT'!$C$28-'[11]EXTRA - FACT'!$C$29)/6178</f>
        <v>2.2521851731952087</v>
      </c>
      <c r="E25" s="229">
        <f>+('[11]EXTRA - FACT'!$D$28-'[11]EXTRA - FACT'!$D$29)/6190</f>
        <v>3.0764135702746365</v>
      </c>
      <c r="F25" s="229">
        <f>+('[11]EXTRA - FACT'!$E$28-'[11]EXTRA - FACT'!$E$29)/6206</f>
        <v>4.9078311311633902</v>
      </c>
      <c r="G25" s="229">
        <f>+('[11]EXTRA - FACT'!$F$28-'[11]EXTRA - FACT'!$F$29)/6211</f>
        <v>5.0830784092738686</v>
      </c>
      <c r="H25" s="229">
        <f>+'[11]EXTRA - FACT'!$G$30/6219</f>
        <v>5.6899823122688531</v>
      </c>
      <c r="I25" s="229">
        <f>+'[11]EXTRA - FACT'!$H$30/6222</f>
        <v>2.193667630986821</v>
      </c>
      <c r="J25" s="229">
        <f>+'[11]EXTRA - FACT'!$I$30/6222</f>
        <v>4.3537447765991644</v>
      </c>
      <c r="K25" s="229">
        <f>+'[11]EXTRA - FACT'!$J$30/6244</f>
        <v>4.8986226777706596</v>
      </c>
      <c r="L25" s="229">
        <f>+'[11]EXTRA - FACT'!$J$30/6231</f>
        <v>4.9088428823623813</v>
      </c>
      <c r="M25" s="229">
        <f>+'[11]EXTRA - FACT'!$L$30/6217</f>
        <v>3.8944828695512306</v>
      </c>
      <c r="N25" s="411">
        <f>+'[11]EXTRACC. POZOS'!$P$31/'[11]EXTRA - FACT'!$M$30/5410</f>
        <v>6.92302097052448E-4</v>
      </c>
      <c r="O25" s="405"/>
      <c r="P25" s="1"/>
    </row>
    <row r="26" spans="2:16" x14ac:dyDescent="0.25">
      <c r="B26" s="484"/>
      <c r="C26" s="48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444" t="s">
        <v>415</v>
      </c>
      <c r="C27" s="444"/>
      <c r="D27" s="228">
        <f>+'[11]EXTRA - FACT'!$C$29/'[11]EXTRA - FACT'!$C$28</f>
        <v>0.81842146473873778</v>
      </c>
      <c r="E27" s="228">
        <f>+'[11]EXTRA - FACT'!$D$29/'[11]EXTRA - FACT'!$D$28</f>
        <v>0.74133387666395001</v>
      </c>
      <c r="F27" s="228">
        <f>+'[11]EXTRA - FACT'!$E$29/'[11]EXTRA - FACT'!$E$28</f>
        <v>0.67415189412985566</v>
      </c>
      <c r="G27" s="228">
        <f>+'[11]EXTRA - FACT'!$F$29/'[11]EXTRA - FACT'!$F$28</f>
        <v>0.66673352193556557</v>
      </c>
      <c r="H27" s="228">
        <f>+'[11]EXTRA - FACT'!$G$29/'[11]EXTRA - FACT'!$G$28</f>
        <v>0.66187950886245284</v>
      </c>
      <c r="I27" s="228">
        <f>+'[11]EXTRA - FACT'!$H$31</f>
        <v>0.84676785594000492</v>
      </c>
      <c r="J27" s="228">
        <f>+'[11]EXTRA - FACT'!$I$29/'[11]EXTRA - FACT'!$I$28</f>
        <v>0.69039019818501846</v>
      </c>
      <c r="K27" s="228">
        <f>+'[11]EXTRA - FACT'!$J$31</f>
        <v>0.65555568067927161</v>
      </c>
      <c r="L27" s="418">
        <f>+'[11]EXTRA - FACT'!$K$29/'[11]EXTRA - FACT'!$K$28</f>
        <v>0.64717000584212514</v>
      </c>
      <c r="M27" s="418">
        <f>+'[11]EXTRA - FACT'!$K$29/'[11]EXTRA - FACT'!$K$28</f>
        <v>0.64717000584212514</v>
      </c>
      <c r="N27" s="418">
        <f>+'[11]EXTRA - FACT'!$M$29/'[11]EXTRA - FACT'!$M$28</f>
        <v>0.73300256587987789</v>
      </c>
      <c r="O27" s="405"/>
      <c r="P27" s="1"/>
    </row>
    <row r="28" spans="2:16" x14ac:dyDescent="0.25">
      <c r="B28" s="444" t="s">
        <v>416</v>
      </c>
      <c r="C28" s="444"/>
      <c r="D28" s="228">
        <f>73639/'[11]EXTRA - FACT'!$C$28</f>
        <v>0.96099337056950462</v>
      </c>
      <c r="E28" s="228">
        <f>81853/'[11]EXTRA - FACT'!$D$28</f>
        <v>1.1118310241782123</v>
      </c>
      <c r="F28" s="228">
        <f>85686/'[11]EXTRA - FACT'!$E$28</f>
        <v>0.9166925208348935</v>
      </c>
      <c r="G28" s="228">
        <f>86746/'[11]EXTRA - FACT'!$F$28</f>
        <v>0.91569902461681374</v>
      </c>
      <c r="H28" s="228">
        <f>89836/'[11]EXTRACC. POZOS'!$J$31</f>
        <v>0.8584014141703693</v>
      </c>
      <c r="I28" s="228">
        <v>1.05</v>
      </c>
      <c r="J28" s="228">
        <f>84735/'[11]EXTRA - FACT'!$I$28</f>
        <v>0.9684664091251971</v>
      </c>
      <c r="K28" s="228">
        <f>83239/'[11]EXTRA - FACT'!$J$28</f>
        <v>0.93736557020754274</v>
      </c>
      <c r="L28" s="418">
        <f>83239/'[11]EXTRA - FACT'!$J$28</f>
        <v>0.93736557020754274</v>
      </c>
      <c r="M28" s="418">
        <f>61703/'[11]EXTRA - FACT'!$J$28</f>
        <v>0.69484577876375264</v>
      </c>
      <c r="N28" s="228">
        <f>+(36992+57660)/82233</f>
        <v>1.1510220957523136</v>
      </c>
      <c r="O28" s="405"/>
      <c r="P28" s="1"/>
    </row>
    <row r="29" spans="2:16" x14ac:dyDescent="0.25">
      <c r="B29" s="444" t="s">
        <v>17</v>
      </c>
      <c r="C29" s="444"/>
      <c r="D29" s="228">
        <f>119687/73639</f>
        <v>1.6253208218471191</v>
      </c>
      <c r="E29" s="228">
        <f>74734/81853</f>
        <v>0.91302701183829549</v>
      </c>
      <c r="F29" s="228">
        <f>67559/85686</f>
        <v>0.78844852134537735</v>
      </c>
      <c r="G29" s="228">
        <f>74577/86768</f>
        <v>0.8594988936013277</v>
      </c>
      <c r="H29" s="412">
        <f>69269/89836</f>
        <v>0.77106059931430604</v>
      </c>
      <c r="I29" s="228">
        <f>+'[11]GRAFICOS POR USO'!$H$11/'[11]EXTRA - FACT'!$H$29</f>
        <v>0.92403049386808089</v>
      </c>
      <c r="J29" s="228">
        <f>+'[11]GRAFICOS POR USO'!$I$11/'[11]GRAFICOS POR USO'!$I$22</f>
        <v>1.1232568526575242</v>
      </c>
      <c r="K29" s="228">
        <f>+'[11]GRAFICOS POR USO'!$J$11/'[11]GRAFICOS POR USO'!$J$22</f>
        <v>1.0188035653068221</v>
      </c>
      <c r="L29" s="418">
        <v>0.54191447182101393</v>
      </c>
      <c r="M29" s="418">
        <v>0.42380195321371794</v>
      </c>
      <c r="N29" s="228">
        <f>61097/60277</f>
        <v>1.0136038621696501</v>
      </c>
      <c r="O29" s="405"/>
      <c r="P29" s="1"/>
    </row>
    <row r="30" spans="2:16" x14ac:dyDescent="0.25">
      <c r="B30" s="444" t="s">
        <v>417</v>
      </c>
      <c r="C30" s="444"/>
      <c r="D30" s="228">
        <f>+[1]INGRESO!$C$8/[1]FACTURACIÓN!$C$8</f>
        <v>1.9230978683678233</v>
      </c>
      <c r="E30" s="228">
        <f>+[1]INGRESO!$D$8/[1]FACTURACIÓN!$D$8</f>
        <v>0.81177903195228307</v>
      </c>
      <c r="F30" s="228">
        <f>+[1]INGRESO!$E$8/[1]FACTURACIÓN!$E$8</f>
        <v>0.97902592008025491</v>
      </c>
      <c r="G30" s="228">
        <f>+[1]INGRESO!$F$8/[1]FACTURACIÓN!$F$8</f>
        <v>1.0086790366774023</v>
      </c>
      <c r="H30" s="228"/>
      <c r="I30" s="228">
        <f>+[1]INGRESO!$H$8/[1]FACTURACIÓN!$H$8</f>
        <v>0.92732253560339273</v>
      </c>
      <c r="J30" s="228">
        <f>+'[11]GRAFICOS POR USO'!$I$33/'[11]GRAFICOS POR USO'!$I$45</f>
        <v>1.0951769996633158</v>
      </c>
      <c r="K30" s="228">
        <f>+'[11]GRAFICOS POR USO'!$J$33/'[11]GRAFICOS POR USO'!$J$45</f>
        <v>0.97974387970292487</v>
      </c>
      <c r="L30" s="418">
        <f>+'[11]GRAFICOS POR USO'!$J$33/'[11]GRAFICOS POR USO'!$J$45</f>
        <v>0.97974387970292487</v>
      </c>
      <c r="M30" s="418">
        <v>0.42563243084427627</v>
      </c>
      <c r="N30" s="228">
        <f>+[1]INGRESO!$M$8/[1]FACTURACIÓN!$M$8</f>
        <v>1.0944373966504863</v>
      </c>
      <c r="O30" s="405"/>
      <c r="P30" s="1"/>
    </row>
    <row r="31" spans="2:16" x14ac:dyDescent="0.25">
      <c r="B31" s="444" t="s">
        <v>18</v>
      </c>
      <c r="C31" s="444"/>
      <c r="D31" s="228">
        <f>+D28*D29</f>
        <v>1.5619225348436603</v>
      </c>
      <c r="E31" s="228">
        <f>+E28*E29</f>
        <v>1.0151317576745449</v>
      </c>
      <c r="F31" s="228">
        <f t="shared" ref="F31:I31" si="3">+F28*F29</f>
        <v>0.72276486258063832</v>
      </c>
      <c r="G31" s="228">
        <f t="shared" si="3"/>
        <v>0.78704229852996632</v>
      </c>
      <c r="H31" s="228">
        <f t="shared" si="3"/>
        <v>0.66187950886245284</v>
      </c>
      <c r="I31" s="228">
        <f t="shared" si="3"/>
        <v>0.970232018561485</v>
      </c>
      <c r="J31" s="228">
        <f>+J28*J29</f>
        <v>1.0878365306185029</v>
      </c>
      <c r="K31" s="228">
        <f>+K28*K29</f>
        <v>0.95499138492330682</v>
      </c>
      <c r="L31" s="418">
        <f>+L28*L29</f>
        <v>0.5079719678822241</v>
      </c>
      <c r="M31" s="418">
        <f>+M28*M29</f>
        <v>0.29447699822238532</v>
      </c>
      <c r="N31" s="418">
        <f>+N28*N29</f>
        <v>1.1666804416971499</v>
      </c>
      <c r="O31" s="405"/>
      <c r="P31" s="1"/>
    </row>
    <row r="32" spans="2:16" x14ac:dyDescent="0.25">
      <c r="B32" s="484"/>
      <c r="C32" s="48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484"/>
      <c r="C33" s="48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484"/>
      <c r="C34" s="48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484"/>
      <c r="C35" s="48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5364</v>
      </c>
      <c r="P35" s="1">
        <v>21997</v>
      </c>
    </row>
    <row r="36" spans="2:16" x14ac:dyDescent="0.25">
      <c r="B36" s="484"/>
      <c r="C36" s="484"/>
      <c r="D36" s="1"/>
      <c r="E36" s="1"/>
      <c r="F36" s="1"/>
      <c r="G36" s="410">
        <v>24837.453333333335</v>
      </c>
      <c r="H36" s="1" t="s">
        <v>418</v>
      </c>
      <c r="I36" s="410">
        <f>+G36/1000</f>
        <v>24.837453333333336</v>
      </c>
      <c r="J36" s="1"/>
      <c r="K36" s="1"/>
      <c r="L36" s="1"/>
      <c r="M36" s="1"/>
      <c r="N36" s="1"/>
      <c r="O36" s="1">
        <v>13</v>
      </c>
      <c r="P36" s="1">
        <f>+O36*4</f>
        <v>52</v>
      </c>
    </row>
    <row r="37" spans="2:16" x14ac:dyDescent="0.25">
      <c r="B37" s="484"/>
      <c r="C37" s="484"/>
      <c r="D37" s="1"/>
      <c r="E37" s="1"/>
      <c r="F37" s="1"/>
      <c r="G37" s="410">
        <v>49674.906666666669</v>
      </c>
      <c r="H37" s="1" t="s">
        <v>419</v>
      </c>
      <c r="I37" s="410">
        <f>+G37/1000</f>
        <v>49.674906666666672</v>
      </c>
      <c r="J37" s="1"/>
      <c r="K37" s="1"/>
      <c r="L37" s="1"/>
      <c r="M37" s="1">
        <v>61703</v>
      </c>
      <c r="N37" s="1" t="s">
        <v>420</v>
      </c>
      <c r="O37" s="1">
        <f>SUM(O35:O36)</f>
        <v>5377</v>
      </c>
      <c r="P37" s="1">
        <f>SUM(P35:P36)</f>
        <v>22049</v>
      </c>
    </row>
    <row r="38" spans="2:16" x14ac:dyDescent="0.25">
      <c r="B38" s="484"/>
      <c r="C38" s="48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484"/>
      <c r="C39" s="48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36">
    <mergeCell ref="B15:C15"/>
    <mergeCell ref="D4:O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workbookViewId="0">
      <selection activeCell="O17" sqref="O17"/>
    </sheetView>
  </sheetViews>
  <sheetFormatPr baseColWidth="10" defaultRowHeight="11.25" x14ac:dyDescent="0.2"/>
  <cols>
    <col min="1" max="16384" width="11.42578125" style="1"/>
  </cols>
  <sheetData>
    <row r="3" spans="2:14" x14ac:dyDescent="0.2">
      <c r="B3" s="368">
        <v>2017</v>
      </c>
      <c r="C3" s="368" t="s">
        <v>4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9</v>
      </c>
      <c r="I3" s="368" t="s">
        <v>10</v>
      </c>
      <c r="J3" s="368" t="s">
        <v>11</v>
      </c>
      <c r="K3" s="368" t="s">
        <v>12</v>
      </c>
      <c r="L3" s="368" t="s">
        <v>13</v>
      </c>
      <c r="M3" s="368" t="s">
        <v>14</v>
      </c>
      <c r="N3" s="368" t="s">
        <v>15</v>
      </c>
    </row>
    <row r="4" spans="2:14" ht="22.5" x14ac:dyDescent="0.2">
      <c r="B4" s="369" t="s">
        <v>350</v>
      </c>
      <c r="C4" s="229">
        <v>856.32258064516134</v>
      </c>
      <c r="D4" s="229">
        <v>782.67857142857144</v>
      </c>
      <c r="E4" s="229">
        <v>961.67741935483866</v>
      </c>
      <c r="F4" s="229">
        <v>1077.7</v>
      </c>
      <c r="G4" s="229">
        <v>1213.9677419354839</v>
      </c>
      <c r="H4" s="229">
        <v>1078.4333333333334</v>
      </c>
      <c r="I4" s="229">
        <v>757.38709677419354</v>
      </c>
      <c r="J4" s="229">
        <v>1016.4193548387096</v>
      </c>
      <c r="K4" s="229">
        <v>666.0333333333333</v>
      </c>
      <c r="L4" s="229">
        <v>802.74193548387098</v>
      </c>
      <c r="M4" s="229">
        <v>1323.7666666666667</v>
      </c>
      <c r="N4" s="229">
        <v>1068.4516129032259</v>
      </c>
    </row>
    <row r="5" spans="2:14" ht="33.75" x14ac:dyDescent="0.2">
      <c r="B5" s="369" t="s">
        <v>351</v>
      </c>
      <c r="C5" s="229">
        <v>1713.741935483871</v>
      </c>
      <c r="D5" s="229">
        <v>1910</v>
      </c>
      <c r="E5" s="229">
        <v>1648.5806451612902</v>
      </c>
      <c r="F5" s="229">
        <v>1750.0333333333333</v>
      </c>
      <c r="G5" s="229">
        <v>1734.1290322580646</v>
      </c>
      <c r="H5" s="229">
        <v>1924.8</v>
      </c>
      <c r="I5" s="229">
        <v>1873.2903225806451</v>
      </c>
      <c r="J5" s="229">
        <v>1691.3870967741937</v>
      </c>
      <c r="K5" s="229">
        <v>1680.3666666666666</v>
      </c>
      <c r="L5" s="229">
        <v>1569.2258064516129</v>
      </c>
      <c r="M5" s="229">
        <v>1380.0666666666666</v>
      </c>
      <c r="N5" s="229">
        <v>1476.2258064516129</v>
      </c>
    </row>
    <row r="7" spans="2:14" x14ac:dyDescent="0.2">
      <c r="B7" s="368">
        <v>2018</v>
      </c>
      <c r="C7" s="368" t="s">
        <v>4</v>
      </c>
      <c r="D7" s="368" t="s">
        <v>5</v>
      </c>
      <c r="E7" s="368" t="s">
        <v>6</v>
      </c>
      <c r="F7" s="368" t="s">
        <v>7</v>
      </c>
      <c r="G7" s="368" t="s">
        <v>8</v>
      </c>
      <c r="H7" s="368" t="s">
        <v>9</v>
      </c>
      <c r="I7" s="368" t="s">
        <v>10</v>
      </c>
      <c r="J7" s="368" t="s">
        <v>11</v>
      </c>
      <c r="K7" s="368" t="s">
        <v>12</v>
      </c>
      <c r="L7" s="368" t="s">
        <v>13</v>
      </c>
      <c r="M7" s="368" t="s">
        <v>14</v>
      </c>
      <c r="N7" s="368" t="s">
        <v>15</v>
      </c>
    </row>
    <row r="8" spans="2:14" ht="22.5" x14ac:dyDescent="0.2">
      <c r="B8" s="369" t="s">
        <v>350</v>
      </c>
      <c r="C8" s="229">
        <v>899.09677419354841</v>
      </c>
      <c r="D8" s="229">
        <v>584.25</v>
      </c>
      <c r="E8" s="229">
        <v>1021.6451612903226</v>
      </c>
      <c r="F8" s="229">
        <v>1130.5333333333333</v>
      </c>
      <c r="G8" s="229">
        <v>789.29032258064512</v>
      </c>
      <c r="H8" s="229">
        <v>500.1</v>
      </c>
      <c r="I8" s="229">
        <v>689.80645161290317</v>
      </c>
      <c r="J8" s="229">
        <v>528.54838709677415</v>
      </c>
      <c r="K8" s="229">
        <v>387.16666666666669</v>
      </c>
      <c r="L8" s="229">
        <v>597.32258064516134</v>
      </c>
      <c r="M8" s="229">
        <v>579.1</v>
      </c>
      <c r="N8" s="229">
        <v>925.0322580645161</v>
      </c>
    </row>
    <row r="9" spans="2:14" ht="33.75" x14ac:dyDescent="0.2">
      <c r="B9" s="369" t="s">
        <v>351</v>
      </c>
      <c r="C9" s="229">
        <v>1608.741935483871</v>
      </c>
      <c r="D9" s="229">
        <v>1919.3214285714287</v>
      </c>
      <c r="E9" s="229">
        <v>1883.8387096774193</v>
      </c>
      <c r="F9" s="229">
        <v>1879.1</v>
      </c>
      <c r="G9" s="229">
        <v>2012.1290322580646</v>
      </c>
      <c r="H9" s="229">
        <v>1871.7</v>
      </c>
      <c r="I9" s="229">
        <v>1804.6774193548388</v>
      </c>
      <c r="J9" s="229">
        <v>1995.7096774193549</v>
      </c>
      <c r="K9" s="229">
        <v>1804.6</v>
      </c>
      <c r="L9" s="229">
        <v>1684.5483870967741</v>
      </c>
      <c r="M9" s="229">
        <v>1740.1</v>
      </c>
      <c r="N9" s="229">
        <v>1619.6451612903227</v>
      </c>
    </row>
    <row r="11" spans="2:14" x14ac:dyDescent="0.2">
      <c r="B11" s="368">
        <v>2019</v>
      </c>
      <c r="C11" s="368" t="s">
        <v>4</v>
      </c>
      <c r="D11" s="368" t="s">
        <v>5</v>
      </c>
      <c r="E11" s="368" t="s">
        <v>6</v>
      </c>
      <c r="F11" s="368" t="s">
        <v>7</v>
      </c>
      <c r="G11" s="368" t="s">
        <v>8</v>
      </c>
      <c r="H11" s="368" t="s">
        <v>9</v>
      </c>
      <c r="I11" s="368" t="s">
        <v>10</v>
      </c>
      <c r="J11" s="368" t="s">
        <v>11</v>
      </c>
      <c r="K11" s="368" t="s">
        <v>12</v>
      </c>
      <c r="L11" s="368" t="s">
        <v>13</v>
      </c>
      <c r="M11" s="368" t="s">
        <v>14</v>
      </c>
      <c r="N11" s="368" t="s">
        <v>15</v>
      </c>
    </row>
    <row r="12" spans="2:14" ht="22.5" x14ac:dyDescent="0.2">
      <c r="B12" s="369" t="s">
        <v>350</v>
      </c>
      <c r="C12" s="229">
        <v>448.83870967741933</v>
      </c>
      <c r="D12" s="229">
        <v>680.10714285714289</v>
      </c>
      <c r="E12" s="229">
        <v>982.51612903225805</v>
      </c>
      <c r="F12" s="229">
        <v>1052.3666666666666</v>
      </c>
      <c r="G12" s="229">
        <v>1141.483870967742</v>
      </c>
      <c r="H12" s="229">
        <v>440.29032258064518</v>
      </c>
      <c r="I12" s="229">
        <v>873.83870967741939</v>
      </c>
      <c r="J12" s="229">
        <v>986.67741935483866</v>
      </c>
      <c r="K12" s="229">
        <v>1026.7</v>
      </c>
      <c r="L12" s="229">
        <v>781.0322580645161</v>
      </c>
      <c r="M12" s="229">
        <v>708.25806451612902</v>
      </c>
      <c r="N12" s="229">
        <v>0</v>
      </c>
    </row>
    <row r="13" spans="2:14" ht="33.75" x14ac:dyDescent="0.2">
      <c r="B13" s="369" t="s">
        <v>351</v>
      </c>
      <c r="C13" s="229">
        <v>2023.0322580645161</v>
      </c>
      <c r="D13" s="229">
        <v>1760.5483870967741</v>
      </c>
      <c r="E13" s="229">
        <v>2032.741935483871</v>
      </c>
      <c r="F13" s="229">
        <v>2037.4516129032259</v>
      </c>
      <c r="G13" s="229">
        <v>2234.483870967742</v>
      </c>
      <c r="H13" s="229">
        <v>2433.0645161290322</v>
      </c>
      <c r="I13" s="229">
        <v>1948.5483870967741</v>
      </c>
      <c r="J13" s="229">
        <v>1877.8709677419354</v>
      </c>
      <c r="K13" s="229">
        <v>1822.4516129032259</v>
      </c>
      <c r="L13" s="229">
        <v>1990.7096774193549</v>
      </c>
      <c r="M13" s="229">
        <v>1944.4193548387098</v>
      </c>
      <c r="N13" s="22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topLeftCell="B1" workbookViewId="0">
      <selection activeCell="H18" sqref="H18"/>
    </sheetView>
  </sheetViews>
  <sheetFormatPr baseColWidth="10" defaultRowHeight="11.25" x14ac:dyDescent="0.2"/>
  <cols>
    <col min="1" max="1" width="11.42578125" style="1" hidden="1" customWidth="1"/>
    <col min="2" max="2" width="17.140625" style="1" customWidth="1"/>
    <col min="3" max="3" width="8.5703125" style="1" customWidth="1"/>
    <col min="4" max="4" width="9.5703125" style="1" customWidth="1"/>
    <col min="5" max="5" width="9.7109375" style="1" customWidth="1"/>
    <col min="6" max="6" width="7" style="1" customWidth="1"/>
    <col min="7" max="7" width="7.42578125" style="1" customWidth="1"/>
    <col min="8" max="8" width="8.42578125" style="1" customWidth="1"/>
    <col min="9" max="9" width="6.7109375" style="1" customWidth="1"/>
    <col min="10" max="10" width="8.28515625" style="1" customWidth="1"/>
    <col min="11" max="11" width="8.5703125" style="1" customWidth="1"/>
    <col min="12" max="12" width="6.85546875" style="1" customWidth="1"/>
    <col min="13" max="13" width="6.7109375" style="1" customWidth="1"/>
    <col min="14" max="14" width="14.5703125" style="1" customWidth="1"/>
    <col min="15" max="15" width="6.85546875" style="1" customWidth="1"/>
    <col min="16" max="16" width="6.28515625" style="1" customWidth="1"/>
    <col min="17" max="17" width="6" style="1" customWidth="1"/>
    <col min="18" max="18" width="6.42578125" style="1" customWidth="1"/>
    <col min="19" max="19" width="6.28515625" style="1" customWidth="1"/>
    <col min="20" max="20" width="6.7109375" style="1" customWidth="1"/>
    <col min="21" max="21" width="6.140625" style="1" customWidth="1"/>
    <col min="22" max="22" width="6.7109375" style="1" customWidth="1"/>
    <col min="23" max="23" width="7.85546875" style="1" customWidth="1"/>
    <col min="24" max="24" width="8.7109375" style="1" customWidth="1"/>
    <col min="25" max="25" width="7.140625" style="1" customWidth="1"/>
    <col min="26" max="16384" width="11.42578125" style="1"/>
  </cols>
  <sheetData>
    <row r="2" spans="2:27" x14ac:dyDescent="0.2">
      <c r="C2" s="1" t="s">
        <v>52</v>
      </c>
    </row>
    <row r="3" spans="2:27" x14ac:dyDescent="0.2">
      <c r="K3" s="421"/>
      <c r="L3" s="421"/>
      <c r="M3" s="421"/>
    </row>
    <row r="4" spans="2:27" x14ac:dyDescent="0.2">
      <c r="K4" s="232"/>
      <c r="L4" s="232"/>
      <c r="M4" s="182"/>
    </row>
    <row r="5" spans="2:27" x14ac:dyDescent="0.2">
      <c r="K5" s="182"/>
      <c r="L5" s="182"/>
      <c r="M5" s="182"/>
    </row>
    <row r="8" spans="2:27" x14ac:dyDescent="0.2">
      <c r="B8" s="208"/>
      <c r="C8" s="422" t="s">
        <v>280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4"/>
      <c r="O8" s="183"/>
    </row>
    <row r="9" spans="2:27" ht="22.5" x14ac:dyDescent="0.2">
      <c r="B9" s="208">
        <v>2017</v>
      </c>
      <c r="C9" s="221" t="s">
        <v>4</v>
      </c>
      <c r="D9" s="221" t="s">
        <v>5</v>
      </c>
      <c r="E9" s="221" t="s">
        <v>6</v>
      </c>
      <c r="F9" s="221" t="s">
        <v>7</v>
      </c>
      <c r="G9" s="221" t="s">
        <v>8</v>
      </c>
      <c r="H9" s="221" t="s">
        <v>9</v>
      </c>
      <c r="I9" s="221" t="s">
        <v>10</v>
      </c>
      <c r="J9" s="221" t="s">
        <v>11</v>
      </c>
      <c r="K9" s="221" t="s">
        <v>12</v>
      </c>
      <c r="L9" s="221" t="s">
        <v>13</v>
      </c>
      <c r="M9" s="221" t="s">
        <v>14</v>
      </c>
      <c r="N9" s="221" t="s">
        <v>15</v>
      </c>
    </row>
    <row r="10" spans="2:27" ht="21.75" customHeight="1" x14ac:dyDescent="0.2">
      <c r="B10" s="221" t="s">
        <v>50</v>
      </c>
      <c r="C10" s="343">
        <v>79672</v>
      </c>
      <c r="D10" s="343">
        <v>75395</v>
      </c>
      <c r="E10" s="343">
        <v>80918</v>
      </c>
      <c r="F10" s="343">
        <v>84832</v>
      </c>
      <c r="G10" s="343">
        <v>91391</v>
      </c>
      <c r="H10" s="343">
        <v>90097</v>
      </c>
      <c r="I10" s="343">
        <v>81551</v>
      </c>
      <c r="J10" s="343">
        <v>83942</v>
      </c>
      <c r="K10" s="343">
        <v>70392</v>
      </c>
      <c r="L10" s="344">
        <v>73531</v>
      </c>
      <c r="M10" s="343">
        <v>76658</v>
      </c>
      <c r="N10" s="200">
        <v>78885</v>
      </c>
      <c r="O10" s="1">
        <f>SUM(C10:N10)</f>
        <v>967264</v>
      </c>
    </row>
    <row r="11" spans="2:27" x14ac:dyDescent="0.2">
      <c r="B11" s="221" t="s">
        <v>51</v>
      </c>
      <c r="C11" s="200">
        <v>53126</v>
      </c>
      <c r="D11" s="200">
        <v>53480</v>
      </c>
      <c r="E11" s="200">
        <v>51106</v>
      </c>
      <c r="F11" s="200">
        <v>52501</v>
      </c>
      <c r="G11" s="200">
        <v>53758</v>
      </c>
      <c r="H11" s="200">
        <v>57744</v>
      </c>
      <c r="I11" s="200">
        <v>58072</v>
      </c>
      <c r="J11" s="200">
        <v>52433</v>
      </c>
      <c r="K11" s="200">
        <v>50411</v>
      </c>
      <c r="L11" s="200">
        <v>48646</v>
      </c>
      <c r="M11" s="200">
        <v>41402</v>
      </c>
      <c r="N11" s="200">
        <v>45763</v>
      </c>
      <c r="O11" s="1">
        <f>SUM(C11:N11)</f>
        <v>618442</v>
      </c>
    </row>
    <row r="12" spans="2:27" ht="22.5" x14ac:dyDescent="0.2">
      <c r="B12" s="345" t="s">
        <v>260</v>
      </c>
      <c r="C12" s="346">
        <v>26546</v>
      </c>
      <c r="D12" s="346">
        <f t="shared" ref="D12:I12" si="0">+D10-D11</f>
        <v>21915</v>
      </c>
      <c r="E12" s="346">
        <f t="shared" si="0"/>
        <v>29812</v>
      </c>
      <c r="F12" s="346">
        <f t="shared" si="0"/>
        <v>32331</v>
      </c>
      <c r="G12" s="346">
        <f t="shared" si="0"/>
        <v>37633</v>
      </c>
      <c r="H12" s="346">
        <f t="shared" si="0"/>
        <v>32353</v>
      </c>
      <c r="I12" s="346">
        <f t="shared" si="0"/>
        <v>23479</v>
      </c>
      <c r="J12" s="346">
        <f>+J10-J11</f>
        <v>31509</v>
      </c>
      <c r="K12" s="346">
        <f>+K10-K11</f>
        <v>19981</v>
      </c>
      <c r="L12" s="346">
        <f>+L10-L11</f>
        <v>24885</v>
      </c>
      <c r="M12" s="346">
        <v>39713</v>
      </c>
      <c r="N12" s="200">
        <f>+N10-N11</f>
        <v>33122</v>
      </c>
      <c r="O12" s="1">
        <f>SUM(C12:N12)</f>
        <v>353279</v>
      </c>
    </row>
    <row r="13" spans="2:27" x14ac:dyDescent="0.2">
      <c r="B13" s="221" t="s">
        <v>282</v>
      </c>
      <c r="C13" s="211">
        <f>+C11/C10</f>
        <v>0.66680891655788732</v>
      </c>
      <c r="D13" s="211">
        <f t="shared" ref="D13:N13" si="1">+D11/D10</f>
        <v>0.709330857483918</v>
      </c>
      <c r="E13" s="211">
        <f t="shared" si="1"/>
        <v>0.63157764650633974</v>
      </c>
      <c r="F13" s="211">
        <f t="shared" si="1"/>
        <v>0.61888202565069783</v>
      </c>
      <c r="G13" s="211">
        <f t="shared" si="1"/>
        <v>0.58821984659320936</v>
      </c>
      <c r="H13" s="211">
        <f t="shared" si="1"/>
        <v>0.64090924226111856</v>
      </c>
      <c r="I13" s="211">
        <f t="shared" si="1"/>
        <v>0.71209427229586397</v>
      </c>
      <c r="J13" s="211">
        <f t="shared" si="1"/>
        <v>0.62463367563317529</v>
      </c>
      <c r="K13" s="211">
        <f t="shared" si="1"/>
        <v>0.71614672121832024</v>
      </c>
      <c r="L13" s="211">
        <f t="shared" si="1"/>
        <v>0.66157131005970271</v>
      </c>
      <c r="M13" s="211">
        <f t="shared" si="1"/>
        <v>0.54008714028542359</v>
      </c>
      <c r="N13" s="211">
        <f t="shared" si="1"/>
        <v>0.58012296380807504</v>
      </c>
      <c r="O13" s="18">
        <f>SUM(C13:N13)</f>
        <v>7.6903846183537317</v>
      </c>
      <c r="P13" s="18">
        <f>+O14/O13</f>
        <v>0.56039009692194308</v>
      </c>
    </row>
    <row r="14" spans="2:27" x14ac:dyDescent="0.2">
      <c r="B14" s="221" t="s">
        <v>283</v>
      </c>
      <c r="C14" s="211">
        <f>100%-C13</f>
        <v>0.33319108344211268</v>
      </c>
      <c r="D14" s="211">
        <f t="shared" ref="D14:N14" si="2">100%-D13</f>
        <v>0.290669142516082</v>
      </c>
      <c r="E14" s="211">
        <f t="shared" si="2"/>
        <v>0.36842235349366026</v>
      </c>
      <c r="F14" s="211">
        <f t="shared" si="2"/>
        <v>0.38111797434930217</v>
      </c>
      <c r="G14" s="211">
        <f t="shared" si="2"/>
        <v>0.41178015340679064</v>
      </c>
      <c r="H14" s="211">
        <f t="shared" si="2"/>
        <v>0.35909075773888144</v>
      </c>
      <c r="I14" s="211">
        <f t="shared" si="2"/>
        <v>0.28790572770413603</v>
      </c>
      <c r="J14" s="211">
        <f t="shared" si="2"/>
        <v>0.37536632436682471</v>
      </c>
      <c r="K14" s="211">
        <f t="shared" si="2"/>
        <v>0.28385327878167976</v>
      </c>
      <c r="L14" s="211">
        <f t="shared" si="2"/>
        <v>0.33842868994029729</v>
      </c>
      <c r="M14" s="211">
        <f t="shared" si="2"/>
        <v>0.45991285971457641</v>
      </c>
      <c r="N14" s="211">
        <f t="shared" si="2"/>
        <v>0.41987703619192496</v>
      </c>
      <c r="O14" s="18">
        <f>SUM(C14:N14)</f>
        <v>4.3096153816462683</v>
      </c>
    </row>
    <row r="15" spans="2:27" x14ac:dyDescent="0.2">
      <c r="M15" s="18"/>
      <c r="Z15" s="18">
        <f>+(C23+D23+E23+F23+G23+H23+I23+J23+K23+L23+M23)/11</f>
        <v>0.27143439012548309</v>
      </c>
      <c r="AA15" s="17"/>
    </row>
    <row r="16" spans="2:27" x14ac:dyDescent="0.2">
      <c r="D16" s="182"/>
      <c r="E16" s="365"/>
      <c r="F16" s="365"/>
      <c r="G16" s="365"/>
      <c r="H16" s="365"/>
      <c r="I16" s="182"/>
    </row>
    <row r="17" spans="2:15" x14ac:dyDescent="0.2">
      <c r="B17" s="208"/>
      <c r="C17" s="422" t="s">
        <v>279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4"/>
    </row>
    <row r="18" spans="2:15" ht="22.5" x14ac:dyDescent="0.2">
      <c r="B18" s="208">
        <v>2018</v>
      </c>
      <c r="C18" s="221" t="s">
        <v>4</v>
      </c>
      <c r="D18" s="221" t="s">
        <v>5</v>
      </c>
      <c r="E18" s="221" t="s">
        <v>6</v>
      </c>
      <c r="F18" s="221" t="s">
        <v>7</v>
      </c>
      <c r="G18" s="221" t="s">
        <v>8</v>
      </c>
      <c r="H18" s="221" t="s">
        <v>9</v>
      </c>
      <c r="I18" s="221" t="s">
        <v>10</v>
      </c>
      <c r="J18" s="221" t="s">
        <v>11</v>
      </c>
      <c r="K18" s="221" t="s">
        <v>12</v>
      </c>
      <c r="L18" s="221" t="s">
        <v>13</v>
      </c>
      <c r="M18" s="221" t="s">
        <v>14</v>
      </c>
      <c r="N18" s="221" t="s">
        <v>15</v>
      </c>
    </row>
    <row r="19" spans="2:15" x14ac:dyDescent="0.2">
      <c r="B19" s="221" t="s">
        <v>50</v>
      </c>
      <c r="C19" s="200">
        <v>77743</v>
      </c>
      <c r="D19" s="200">
        <v>70100</v>
      </c>
      <c r="E19" s="200">
        <v>90070</v>
      </c>
      <c r="F19" s="200">
        <v>90289</v>
      </c>
      <c r="G19" s="200">
        <v>86844</v>
      </c>
      <c r="H19" s="200">
        <v>71154</v>
      </c>
      <c r="I19" s="200">
        <v>77329</v>
      </c>
      <c r="J19" s="200">
        <v>78252</v>
      </c>
      <c r="K19" s="200">
        <v>65753</v>
      </c>
      <c r="L19" s="200">
        <v>70738</v>
      </c>
      <c r="M19" s="200">
        <v>69576</v>
      </c>
      <c r="N19" s="200">
        <v>78885</v>
      </c>
    </row>
    <row r="20" spans="2:15" x14ac:dyDescent="0.2">
      <c r="B20" s="221" t="s">
        <v>51</v>
      </c>
      <c r="C20" s="200">
        <v>49871</v>
      </c>
      <c r="D20" s="200">
        <v>53741</v>
      </c>
      <c r="E20" s="200">
        <v>58399</v>
      </c>
      <c r="F20" s="200">
        <v>56373</v>
      </c>
      <c r="G20" s="200">
        <v>62376</v>
      </c>
      <c r="H20" s="200">
        <v>56151</v>
      </c>
      <c r="I20" s="200">
        <v>55945</v>
      </c>
      <c r="J20" s="200">
        <v>61867</v>
      </c>
      <c r="K20" s="200">
        <v>54138</v>
      </c>
      <c r="L20" s="200">
        <v>52221</v>
      </c>
      <c r="M20" s="200">
        <v>52203</v>
      </c>
      <c r="N20" s="200">
        <v>50209</v>
      </c>
    </row>
    <row r="21" spans="2:15" ht="22.5" x14ac:dyDescent="0.2">
      <c r="B21" s="345" t="s">
        <v>260</v>
      </c>
      <c r="C21" s="200">
        <f t="shared" ref="C21:J21" si="3">+C19-C20</f>
        <v>27872</v>
      </c>
      <c r="D21" s="200">
        <f t="shared" si="3"/>
        <v>16359</v>
      </c>
      <c r="E21" s="200">
        <f t="shared" si="3"/>
        <v>31671</v>
      </c>
      <c r="F21" s="200">
        <f t="shared" si="3"/>
        <v>33916</v>
      </c>
      <c r="G21" s="200">
        <f t="shared" si="3"/>
        <v>24468</v>
      </c>
      <c r="H21" s="200">
        <f t="shared" si="3"/>
        <v>15003</v>
      </c>
      <c r="I21" s="200">
        <f t="shared" si="3"/>
        <v>21384</v>
      </c>
      <c r="J21" s="200">
        <f t="shared" si="3"/>
        <v>16385</v>
      </c>
      <c r="K21" s="200">
        <f>+K19-K20</f>
        <v>11615</v>
      </c>
      <c r="L21" s="200">
        <f>+L19-L20</f>
        <v>18517</v>
      </c>
      <c r="M21" s="200">
        <f>+M19-M20</f>
        <v>17373</v>
      </c>
      <c r="N21" s="200">
        <f>+N19-N20</f>
        <v>28676</v>
      </c>
      <c r="O21" s="349">
        <f>SUM(C21:N21)</f>
        <v>263239</v>
      </c>
    </row>
    <row r="22" spans="2:15" x14ac:dyDescent="0.2">
      <c r="B22" s="221" t="s">
        <v>282</v>
      </c>
      <c r="C22" s="211">
        <f t="shared" ref="C22:J22" si="4">+C20/C19</f>
        <v>0.64148540704629353</v>
      </c>
      <c r="D22" s="211">
        <f t="shared" si="4"/>
        <v>0.76663338088445077</v>
      </c>
      <c r="E22" s="211">
        <f t="shared" si="4"/>
        <v>0.6483734872876652</v>
      </c>
      <c r="F22" s="211">
        <f t="shared" si="4"/>
        <v>0.62436177164438633</v>
      </c>
      <c r="G22" s="211">
        <f t="shared" si="4"/>
        <v>0.7182534199253835</v>
      </c>
      <c r="H22" s="211">
        <f t="shared" si="4"/>
        <v>0.78914748292436121</v>
      </c>
      <c r="I22" s="211">
        <f t="shared" si="4"/>
        <v>0.72346726325182009</v>
      </c>
      <c r="J22" s="211">
        <f t="shared" si="4"/>
        <v>0.7906123805142361</v>
      </c>
      <c r="K22" s="211">
        <f>+K20/K19</f>
        <v>0.82335406749501927</v>
      </c>
      <c r="L22" s="211">
        <f>+L20/L19</f>
        <v>0.73823121942944381</v>
      </c>
      <c r="M22" s="211">
        <f>+M20/M19</f>
        <v>0.75030182821662639</v>
      </c>
      <c r="N22" s="211">
        <f>+N20/N19</f>
        <v>0.63648348862267856</v>
      </c>
    </row>
    <row r="23" spans="2:15" x14ac:dyDescent="0.2">
      <c r="B23" s="221" t="s">
        <v>283</v>
      </c>
      <c r="C23" s="211">
        <f t="shared" ref="C23:J23" si="5">100%-C22</f>
        <v>0.35851459295370647</v>
      </c>
      <c r="D23" s="211">
        <f t="shared" si="5"/>
        <v>0.23336661911554923</v>
      </c>
      <c r="E23" s="211">
        <f t="shared" si="5"/>
        <v>0.3516265127123348</v>
      </c>
      <c r="F23" s="211">
        <f t="shared" si="5"/>
        <v>0.37563822835561367</v>
      </c>
      <c r="G23" s="211">
        <f t="shared" si="5"/>
        <v>0.2817465800746165</v>
      </c>
      <c r="H23" s="211">
        <f t="shared" si="5"/>
        <v>0.21085251707563879</v>
      </c>
      <c r="I23" s="211">
        <f t="shared" si="5"/>
        <v>0.27653273674817991</v>
      </c>
      <c r="J23" s="211">
        <f t="shared" si="5"/>
        <v>0.2093876194857639</v>
      </c>
      <c r="K23" s="211">
        <f>100%-K22</f>
        <v>0.17664593250498073</v>
      </c>
      <c r="L23" s="211">
        <f>100%-L22</f>
        <v>0.26176878057055619</v>
      </c>
      <c r="M23" s="211">
        <f>100%-M22</f>
        <v>0.24969817178337361</v>
      </c>
      <c r="N23" s="211">
        <f>100%-N22</f>
        <v>0.36351651137732144</v>
      </c>
    </row>
    <row r="24" spans="2:15" x14ac:dyDescent="0.2"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2:15" x14ac:dyDescent="0.2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</row>
    <row r="26" spans="2:15" x14ac:dyDescent="0.2">
      <c r="B26" s="208"/>
      <c r="C26" s="425" t="s">
        <v>327</v>
      </c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7"/>
    </row>
    <row r="27" spans="2:15" ht="22.5" x14ac:dyDescent="0.2">
      <c r="B27" s="208">
        <v>2019</v>
      </c>
      <c r="C27" s="221" t="s">
        <v>4</v>
      </c>
      <c r="D27" s="221" t="s">
        <v>5</v>
      </c>
      <c r="E27" s="221" t="s">
        <v>6</v>
      </c>
      <c r="F27" s="221" t="s">
        <v>7</v>
      </c>
      <c r="G27" s="221" t="s">
        <v>8</v>
      </c>
      <c r="H27" s="221" t="s">
        <v>9</v>
      </c>
      <c r="I27" s="221" t="s">
        <v>10</v>
      </c>
      <c r="J27" s="221" t="s">
        <v>11</v>
      </c>
      <c r="K27" s="221" t="s">
        <v>12</v>
      </c>
      <c r="L27" s="221" t="s">
        <v>13</v>
      </c>
      <c r="M27" s="221" t="s">
        <v>14</v>
      </c>
      <c r="N27" s="221" t="s">
        <v>15</v>
      </c>
    </row>
    <row r="28" spans="2:15" x14ac:dyDescent="0.2">
      <c r="B28" s="221" t="s">
        <v>50</v>
      </c>
      <c r="C28" s="200">
        <v>76628</v>
      </c>
      <c r="D28" s="200">
        <v>73620</v>
      </c>
      <c r="E28" s="200">
        <v>93473</v>
      </c>
      <c r="F28" s="200">
        <v>94732</v>
      </c>
      <c r="G28" s="200">
        <v>104655</v>
      </c>
      <c r="H28" s="200">
        <v>89074</v>
      </c>
      <c r="I28" s="200">
        <v>87494</v>
      </c>
      <c r="J28" s="200">
        <v>88801</v>
      </c>
      <c r="K28" s="200">
        <v>87297</v>
      </c>
      <c r="L28" s="200">
        <v>85924</v>
      </c>
      <c r="M28" s="200">
        <v>82233</v>
      </c>
      <c r="N28" s="200"/>
    </row>
    <row r="29" spans="2:15" x14ac:dyDescent="0.2">
      <c r="B29" s="221" t="s">
        <v>51</v>
      </c>
      <c r="C29" s="200">
        <v>62714</v>
      </c>
      <c r="D29" s="200">
        <v>54577</v>
      </c>
      <c r="E29" s="200">
        <v>63015</v>
      </c>
      <c r="F29" s="200">
        <v>63161</v>
      </c>
      <c r="G29" s="200">
        <v>69269</v>
      </c>
      <c r="H29" s="200">
        <f>+'[1]CONSUMO M3'!$I$8</f>
        <v>75425</v>
      </c>
      <c r="I29" s="200">
        <v>60405</v>
      </c>
      <c r="J29" s="200">
        <v>58214</v>
      </c>
      <c r="K29" s="200">
        <v>56496</v>
      </c>
      <c r="L29" s="200">
        <v>61712</v>
      </c>
      <c r="M29" s="200">
        <v>60277</v>
      </c>
      <c r="N29" s="200"/>
    </row>
    <row r="30" spans="2:15" ht="22.5" x14ac:dyDescent="0.2">
      <c r="B30" s="345" t="s">
        <v>260</v>
      </c>
      <c r="C30" s="200">
        <f t="shared" ref="C30:J30" si="6">+C28-C29</f>
        <v>13914</v>
      </c>
      <c r="D30" s="200">
        <f t="shared" si="6"/>
        <v>19043</v>
      </c>
      <c r="E30" s="200">
        <f t="shared" si="6"/>
        <v>30458</v>
      </c>
      <c r="F30" s="200">
        <f t="shared" si="6"/>
        <v>31571</v>
      </c>
      <c r="G30" s="200">
        <f t="shared" si="6"/>
        <v>35386</v>
      </c>
      <c r="H30" s="200">
        <f t="shared" si="6"/>
        <v>13649</v>
      </c>
      <c r="I30" s="200">
        <f t="shared" si="6"/>
        <v>27089</v>
      </c>
      <c r="J30" s="200">
        <f t="shared" si="6"/>
        <v>30587</v>
      </c>
      <c r="K30" s="200">
        <f>+K28-K29</f>
        <v>30801</v>
      </c>
      <c r="L30" s="200">
        <f>+L28-L29</f>
        <v>24212</v>
      </c>
      <c r="M30" s="200">
        <f>+M28-M29</f>
        <v>21956</v>
      </c>
      <c r="N30" s="200">
        <f>+N28-N29</f>
        <v>0</v>
      </c>
    </row>
    <row r="31" spans="2:15" x14ac:dyDescent="0.2">
      <c r="B31" s="221" t="s">
        <v>282</v>
      </c>
      <c r="C31" s="211">
        <f t="shared" ref="C31:J31" si="7">+C29/C28</f>
        <v>0.81842146473873778</v>
      </c>
      <c r="D31" s="211">
        <f t="shared" si="7"/>
        <v>0.74133387666395001</v>
      </c>
      <c r="E31" s="211">
        <f t="shared" si="7"/>
        <v>0.67415189412985566</v>
      </c>
      <c r="F31" s="211">
        <f t="shared" si="7"/>
        <v>0.66673352193556557</v>
      </c>
      <c r="G31" s="211">
        <f t="shared" si="7"/>
        <v>0.66187950886245284</v>
      </c>
      <c r="H31" s="211">
        <f t="shared" si="7"/>
        <v>0.84676785594000492</v>
      </c>
      <c r="I31" s="211">
        <f t="shared" si="7"/>
        <v>0.69039019818501846</v>
      </c>
      <c r="J31" s="211">
        <f t="shared" si="7"/>
        <v>0.65555568067927161</v>
      </c>
      <c r="K31" s="211">
        <f>+K29/K28</f>
        <v>0.64717000584212514</v>
      </c>
      <c r="L31" s="211">
        <f>+L29/L28</f>
        <v>0.7182160979470229</v>
      </c>
      <c r="M31" s="211">
        <f>+M29/M28</f>
        <v>0.73300256587987789</v>
      </c>
      <c r="N31" s="211" t="e">
        <f>+N29/N28</f>
        <v>#DIV/0!</v>
      </c>
    </row>
    <row r="32" spans="2:15" x14ac:dyDescent="0.2">
      <c r="B32" s="221" t="s">
        <v>283</v>
      </c>
      <c r="C32" s="211">
        <f t="shared" ref="C32:J32" si="8">100%-C31</f>
        <v>0.18157853526126222</v>
      </c>
      <c r="D32" s="211">
        <f t="shared" si="8"/>
        <v>0.25866612333604999</v>
      </c>
      <c r="E32" s="211">
        <f t="shared" si="8"/>
        <v>0.32584810587014434</v>
      </c>
      <c r="F32" s="211">
        <f t="shared" si="8"/>
        <v>0.33326647806443443</v>
      </c>
      <c r="G32" s="211">
        <f t="shared" si="8"/>
        <v>0.33812049113754716</v>
      </c>
      <c r="H32" s="211">
        <f t="shared" si="8"/>
        <v>0.15323214405999508</v>
      </c>
      <c r="I32" s="211">
        <f t="shared" si="8"/>
        <v>0.30960980181498154</v>
      </c>
      <c r="J32" s="211">
        <f t="shared" si="8"/>
        <v>0.34444431932072839</v>
      </c>
      <c r="K32" s="211">
        <f>100%-K31</f>
        <v>0.35282999415787486</v>
      </c>
      <c r="L32" s="211">
        <f>100%-L31</f>
        <v>0.2817839020529771</v>
      </c>
      <c r="M32" s="211">
        <f>100%-M31</f>
        <v>0.26699743412012211</v>
      </c>
      <c r="N32" s="211" t="e">
        <f>100%-N31</f>
        <v>#DIV/0!</v>
      </c>
    </row>
    <row r="35" spans="2:14" x14ac:dyDescent="0.2">
      <c r="C35" s="367"/>
      <c r="D35" s="367"/>
      <c r="E35" s="367"/>
      <c r="F35" s="367"/>
      <c r="G35" s="367"/>
      <c r="H35" s="367"/>
      <c r="I35" s="367"/>
      <c r="J35" s="367"/>
      <c r="K35" s="367"/>
    </row>
    <row r="37" spans="2:14" x14ac:dyDescent="0.2">
      <c r="B37" s="1" t="s">
        <v>349</v>
      </c>
      <c r="C37" s="367">
        <f>+C30/31</f>
        <v>448.83870967741933</v>
      </c>
      <c r="D37" s="367">
        <f>+D30/28</f>
        <v>680.10714285714289</v>
      </c>
      <c r="E37" s="367">
        <f t="shared" ref="E37:N37" si="9">+E30/31</f>
        <v>982.51612903225805</v>
      </c>
      <c r="F37" s="367">
        <f>+F30/30</f>
        <v>1052.3666666666666</v>
      </c>
      <c r="G37" s="367">
        <f t="shared" si="9"/>
        <v>1141.483870967742</v>
      </c>
      <c r="H37" s="367">
        <f t="shared" si="9"/>
        <v>440.29032258064518</v>
      </c>
      <c r="I37" s="367">
        <f t="shared" si="9"/>
        <v>873.83870967741939</v>
      </c>
      <c r="J37" s="367">
        <f t="shared" si="9"/>
        <v>986.67741935483866</v>
      </c>
      <c r="K37" s="367">
        <f>+K30/30</f>
        <v>1026.7</v>
      </c>
      <c r="L37" s="367">
        <f>+L30/31</f>
        <v>781.0322580645161</v>
      </c>
      <c r="M37" s="1">
        <f t="shared" si="9"/>
        <v>708.25806451612902</v>
      </c>
      <c r="N37" s="1">
        <f t="shared" si="9"/>
        <v>0</v>
      </c>
    </row>
    <row r="38" spans="2:14" x14ac:dyDescent="0.2">
      <c r="C38" s="367">
        <f>+C29/31</f>
        <v>2023.0322580645161</v>
      </c>
      <c r="D38" s="367">
        <f t="shared" ref="D38:N38" si="10">+D29/31</f>
        <v>1760.5483870967741</v>
      </c>
      <c r="E38" s="367">
        <f t="shared" si="10"/>
        <v>2032.741935483871</v>
      </c>
      <c r="F38" s="367">
        <f t="shared" si="10"/>
        <v>2037.4516129032259</v>
      </c>
      <c r="G38" s="367">
        <f t="shared" si="10"/>
        <v>2234.483870967742</v>
      </c>
      <c r="H38" s="367">
        <f t="shared" si="10"/>
        <v>2433.0645161290322</v>
      </c>
      <c r="I38" s="367">
        <f t="shared" si="10"/>
        <v>1948.5483870967741</v>
      </c>
      <c r="J38" s="367">
        <f t="shared" si="10"/>
        <v>1877.8709677419354</v>
      </c>
      <c r="K38" s="367">
        <f>+K29/30</f>
        <v>1883.2</v>
      </c>
      <c r="L38" s="367">
        <f>+L29/31</f>
        <v>1990.7096774193549</v>
      </c>
      <c r="M38" s="367">
        <f t="shared" si="10"/>
        <v>1944.4193548387098</v>
      </c>
      <c r="N38" s="367">
        <f t="shared" si="10"/>
        <v>0</v>
      </c>
    </row>
    <row r="41" spans="2:14" x14ac:dyDescent="0.2">
      <c r="B41" s="1" t="s">
        <v>349</v>
      </c>
      <c r="C41" s="1">
        <f>+C12/31</f>
        <v>856.32258064516134</v>
      </c>
      <c r="D41" s="1">
        <f>+D12/28</f>
        <v>782.67857142857144</v>
      </c>
      <c r="E41" s="1">
        <f>+E12/31</f>
        <v>961.67741935483866</v>
      </c>
      <c r="F41" s="1">
        <f>+F12/30</f>
        <v>1077.7</v>
      </c>
      <c r="G41" s="1">
        <f>+G12/31</f>
        <v>1213.9677419354839</v>
      </c>
      <c r="H41" s="1">
        <f>+H12/30</f>
        <v>1078.4333333333334</v>
      </c>
      <c r="I41" s="1">
        <f>+I12/31</f>
        <v>757.38709677419354</v>
      </c>
      <c r="J41" s="1">
        <f>+J12/31</f>
        <v>1016.4193548387096</v>
      </c>
      <c r="K41" s="1">
        <f>+K12/30</f>
        <v>666.0333333333333</v>
      </c>
      <c r="L41" s="1">
        <f>+L12/31</f>
        <v>802.74193548387098</v>
      </c>
      <c r="M41" s="1">
        <f>+M12/30</f>
        <v>1323.7666666666667</v>
      </c>
      <c r="N41" s="1">
        <f>+N12/31</f>
        <v>1068.4516129032259</v>
      </c>
    </row>
    <row r="42" spans="2:14" x14ac:dyDescent="0.2">
      <c r="C42" s="1">
        <f>+C11/31</f>
        <v>1713.741935483871</v>
      </c>
      <c r="D42" s="1">
        <f>+D11/28</f>
        <v>1910</v>
      </c>
      <c r="E42" s="1">
        <f>+E11/31</f>
        <v>1648.5806451612902</v>
      </c>
      <c r="F42" s="1">
        <f>+F11/30</f>
        <v>1750.0333333333333</v>
      </c>
      <c r="G42" s="1">
        <f>+G11/31</f>
        <v>1734.1290322580646</v>
      </c>
      <c r="H42" s="1">
        <f>+H11/30</f>
        <v>1924.8</v>
      </c>
      <c r="I42" s="1">
        <f>+I11/31</f>
        <v>1873.2903225806451</v>
      </c>
      <c r="J42" s="1">
        <f>+J11/31</f>
        <v>1691.3870967741937</v>
      </c>
      <c r="K42" s="1">
        <f>+K11/30</f>
        <v>1680.3666666666666</v>
      </c>
      <c r="L42" s="1">
        <f>+L11/31</f>
        <v>1569.2258064516129</v>
      </c>
      <c r="M42" s="1">
        <f>+M11/30</f>
        <v>1380.0666666666666</v>
      </c>
      <c r="N42" s="1">
        <f>+N11/31</f>
        <v>1476.2258064516129</v>
      </c>
    </row>
    <row r="44" spans="2:14" x14ac:dyDescent="0.2">
      <c r="B44" s="1" t="s">
        <v>349</v>
      </c>
      <c r="C44" s="1">
        <f>+C21/31</f>
        <v>899.09677419354841</v>
      </c>
      <c r="D44" s="1">
        <f>+D21/28</f>
        <v>584.25</v>
      </c>
      <c r="E44" s="1">
        <f>+E21/31</f>
        <v>1021.6451612903226</v>
      </c>
      <c r="F44" s="1">
        <f>+F21/30</f>
        <v>1130.5333333333333</v>
      </c>
      <c r="G44" s="1">
        <f>+G21/31</f>
        <v>789.29032258064512</v>
      </c>
      <c r="H44" s="1">
        <f>+H21/30</f>
        <v>500.1</v>
      </c>
      <c r="I44" s="1">
        <f>+I21/31</f>
        <v>689.80645161290317</v>
      </c>
      <c r="J44" s="1">
        <f>+J21/31</f>
        <v>528.54838709677415</v>
      </c>
      <c r="K44" s="1">
        <f>+K21/30</f>
        <v>387.16666666666669</v>
      </c>
      <c r="L44" s="1">
        <f>+L21/31</f>
        <v>597.32258064516134</v>
      </c>
      <c r="M44" s="1">
        <f>+M21/30</f>
        <v>579.1</v>
      </c>
      <c r="N44" s="1">
        <f>+N21/31</f>
        <v>925.0322580645161</v>
      </c>
    </row>
    <row r="45" spans="2:14" x14ac:dyDescent="0.2">
      <c r="C45" s="1">
        <f>+C20/31</f>
        <v>1608.741935483871</v>
      </c>
      <c r="D45" s="1">
        <f>+D20/28</f>
        <v>1919.3214285714287</v>
      </c>
      <c r="E45" s="1">
        <f>+E20/31</f>
        <v>1883.8387096774193</v>
      </c>
      <c r="F45" s="1">
        <f>+F20/30</f>
        <v>1879.1</v>
      </c>
      <c r="G45" s="1">
        <f>+G20/31</f>
        <v>2012.1290322580646</v>
      </c>
      <c r="H45" s="1">
        <f>+H20/30</f>
        <v>1871.7</v>
      </c>
      <c r="I45" s="1">
        <f>+I20/31</f>
        <v>1804.6774193548388</v>
      </c>
      <c r="J45" s="1">
        <f>+J20/31</f>
        <v>1995.7096774193549</v>
      </c>
      <c r="K45" s="1">
        <f>+K20/30</f>
        <v>1804.6</v>
      </c>
      <c r="L45" s="1">
        <f>+L20/31</f>
        <v>1684.5483870967741</v>
      </c>
      <c r="M45" s="1">
        <f>+M20/30</f>
        <v>1740.1</v>
      </c>
      <c r="N45" s="1">
        <f>+N20/31</f>
        <v>1619.6451612903227</v>
      </c>
    </row>
  </sheetData>
  <mergeCells count="4">
    <mergeCell ref="K3:M3"/>
    <mergeCell ref="C8:N8"/>
    <mergeCell ref="C17:N17"/>
    <mergeCell ref="C26:N26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3"/>
  <sheetViews>
    <sheetView topLeftCell="D1" workbookViewId="0">
      <selection activeCell="M23" sqref="M23"/>
    </sheetView>
  </sheetViews>
  <sheetFormatPr baseColWidth="10" defaultRowHeight="11.25" x14ac:dyDescent="0.2"/>
  <cols>
    <col min="1" max="4" width="11.42578125" style="1"/>
    <col min="5" max="5" width="4.5703125" style="1" customWidth="1"/>
    <col min="6" max="11" width="11.42578125" style="1"/>
    <col min="12" max="12" width="13.42578125" style="1" customWidth="1"/>
    <col min="13" max="13" width="15" style="1" customWidth="1"/>
    <col min="14" max="16384" width="11.42578125" style="1"/>
  </cols>
  <sheetData>
    <row r="2" spans="1:17" x14ac:dyDescent="0.2">
      <c r="C2" s="1" t="s">
        <v>52</v>
      </c>
    </row>
    <row r="4" spans="1:17" x14ac:dyDescent="0.2">
      <c r="D4" s="434"/>
      <c r="E4" s="434"/>
      <c r="F4" s="434"/>
      <c r="G4" s="434"/>
      <c r="H4" s="29"/>
      <c r="J4" s="430">
        <v>2017</v>
      </c>
      <c r="K4" s="430"/>
      <c r="L4" s="430"/>
    </row>
    <row r="5" spans="1:17" x14ac:dyDescent="0.2">
      <c r="D5" s="30"/>
      <c r="E5" s="30"/>
      <c r="F5" s="31" t="s">
        <v>4</v>
      </c>
      <c r="G5" s="32" t="s">
        <v>5</v>
      </c>
      <c r="H5" s="33" t="s">
        <v>6</v>
      </c>
      <c r="I5" s="34" t="s">
        <v>7</v>
      </c>
      <c r="J5" s="35" t="s">
        <v>8</v>
      </c>
      <c r="K5" s="36" t="s">
        <v>9</v>
      </c>
      <c r="L5" s="37" t="s">
        <v>10</v>
      </c>
      <c r="M5" s="38" t="s">
        <v>11</v>
      </c>
      <c r="N5" s="39" t="s">
        <v>12</v>
      </c>
      <c r="O5" s="40" t="s">
        <v>13</v>
      </c>
      <c r="P5" s="2" t="s">
        <v>14</v>
      </c>
      <c r="Q5" s="2" t="s">
        <v>15</v>
      </c>
    </row>
    <row r="6" spans="1:17" x14ac:dyDescent="0.2">
      <c r="D6" s="435" t="s">
        <v>284</v>
      </c>
      <c r="E6" s="436"/>
      <c r="F6" s="41">
        <v>17335</v>
      </c>
      <c r="G6" s="42">
        <v>15932</v>
      </c>
      <c r="H6" s="43">
        <v>16899</v>
      </c>
      <c r="I6" s="44">
        <v>15730</v>
      </c>
      <c r="J6" s="45">
        <v>17419</v>
      </c>
      <c r="K6" s="46">
        <v>15295</v>
      </c>
      <c r="L6" s="47">
        <v>14610</v>
      </c>
      <c r="M6" s="48">
        <v>14616</v>
      </c>
      <c r="N6" s="39">
        <v>13144</v>
      </c>
      <c r="O6" s="49">
        <v>13622</v>
      </c>
      <c r="P6" s="50">
        <v>14698</v>
      </c>
      <c r="Q6" s="2">
        <v>14636</v>
      </c>
    </row>
    <row r="7" spans="1:17" x14ac:dyDescent="0.2">
      <c r="D7" s="428" t="s">
        <v>285</v>
      </c>
      <c r="E7" s="429"/>
      <c r="F7" s="41">
        <v>22800</v>
      </c>
      <c r="G7" s="42">
        <v>21070</v>
      </c>
      <c r="H7" s="43">
        <v>23790</v>
      </c>
      <c r="I7" s="44">
        <v>22100</v>
      </c>
      <c r="J7" s="45">
        <v>20830</v>
      </c>
      <c r="K7" s="46">
        <v>21080</v>
      </c>
      <c r="L7" s="47">
        <v>21540</v>
      </c>
      <c r="M7" s="48">
        <v>22470</v>
      </c>
      <c r="N7" s="39">
        <v>13710</v>
      </c>
      <c r="O7" s="49">
        <v>16020</v>
      </c>
      <c r="P7" s="50">
        <v>16100</v>
      </c>
      <c r="Q7" s="2">
        <v>17640</v>
      </c>
    </row>
    <row r="8" spans="1:17" x14ac:dyDescent="0.2">
      <c r="D8" s="428" t="s">
        <v>286</v>
      </c>
      <c r="E8" s="429"/>
      <c r="F8" s="41">
        <v>35360</v>
      </c>
      <c r="G8" s="42">
        <v>34570</v>
      </c>
      <c r="H8" s="43">
        <v>35930</v>
      </c>
      <c r="I8" s="44">
        <v>33960</v>
      </c>
      <c r="J8" s="45">
        <v>37110</v>
      </c>
      <c r="K8" s="46">
        <v>37670</v>
      </c>
      <c r="L8" s="47">
        <v>34240</v>
      </c>
      <c r="M8" s="48">
        <v>34510</v>
      </c>
      <c r="N8" s="39">
        <v>32260</v>
      </c>
      <c r="O8" s="49">
        <v>31950</v>
      </c>
      <c r="P8" s="50">
        <v>33780</v>
      </c>
      <c r="Q8" s="2">
        <v>33350</v>
      </c>
    </row>
    <row r="9" spans="1:17" x14ac:dyDescent="0.2">
      <c r="D9" s="428" t="s">
        <v>287</v>
      </c>
      <c r="E9" s="429"/>
      <c r="F9" s="41">
        <v>4177</v>
      </c>
      <c r="G9" s="42">
        <v>3606</v>
      </c>
      <c r="H9" s="43">
        <v>4194</v>
      </c>
      <c r="I9" s="44">
        <v>3985</v>
      </c>
      <c r="J9" s="45">
        <v>4431</v>
      </c>
      <c r="K9" s="46">
        <v>4172</v>
      </c>
      <c r="L9" s="47">
        <v>4157</v>
      </c>
      <c r="M9" s="48">
        <v>4339</v>
      </c>
      <c r="N9" s="39">
        <v>3979</v>
      </c>
      <c r="O9" s="49">
        <v>4143</v>
      </c>
      <c r="P9" s="50">
        <v>4085</v>
      </c>
      <c r="Q9" s="2">
        <v>4515</v>
      </c>
    </row>
    <row r="10" spans="1:17" x14ac:dyDescent="0.2">
      <c r="D10" s="442" t="s">
        <v>288</v>
      </c>
      <c r="E10" s="443"/>
      <c r="F10" s="51"/>
      <c r="G10" s="42">
        <v>217</v>
      </c>
      <c r="H10" s="43">
        <v>105</v>
      </c>
      <c r="I10" s="44">
        <v>0</v>
      </c>
      <c r="J10" s="45">
        <v>0</v>
      </c>
      <c r="K10" s="46">
        <v>0</v>
      </c>
      <c r="L10" s="47">
        <v>0</v>
      </c>
      <c r="M10" s="48">
        <v>0</v>
      </c>
      <c r="N10" s="52">
        <v>0</v>
      </c>
      <c r="O10" s="40"/>
      <c r="P10" s="53">
        <v>0</v>
      </c>
      <c r="Q10" s="2"/>
    </row>
    <row r="11" spans="1:17" x14ac:dyDescent="0.2">
      <c r="D11" s="54" t="s">
        <v>289</v>
      </c>
      <c r="E11" s="55"/>
      <c r="F11" s="51"/>
      <c r="G11" s="42"/>
      <c r="H11" s="43"/>
      <c r="I11" s="44"/>
      <c r="J11" s="45">
        <v>0</v>
      </c>
      <c r="K11" s="46">
        <v>0</v>
      </c>
      <c r="L11" s="47">
        <v>0</v>
      </c>
      <c r="M11" s="48">
        <v>0</v>
      </c>
      <c r="N11" s="52">
        <f>SUM(F11:M11)</f>
        <v>0</v>
      </c>
      <c r="O11" s="40"/>
      <c r="P11" s="53">
        <v>0</v>
      </c>
      <c r="Q11" s="2"/>
    </row>
    <row r="12" spans="1:17" x14ac:dyDescent="0.2">
      <c r="D12" s="54" t="s">
        <v>290</v>
      </c>
      <c r="E12" s="55"/>
      <c r="F12" s="51"/>
      <c r="G12" s="42"/>
      <c r="H12" s="43"/>
      <c r="I12" s="44">
        <v>9057</v>
      </c>
      <c r="J12" s="45">
        <v>11496</v>
      </c>
      <c r="K12" s="46">
        <v>11880</v>
      </c>
      <c r="L12" s="47">
        <v>7004</v>
      </c>
      <c r="M12" s="48">
        <v>8007</v>
      </c>
      <c r="N12" s="52">
        <v>7299</v>
      </c>
      <c r="O12" s="49">
        <v>7796</v>
      </c>
      <c r="P12" s="50">
        <v>7995</v>
      </c>
      <c r="Q12" s="2">
        <v>8744</v>
      </c>
    </row>
    <row r="13" spans="1:17" x14ac:dyDescent="0.2">
      <c r="F13" s="1">
        <f t="shared" ref="F13:Q13" si="0">SUM(F6:F12)</f>
        <v>79672</v>
      </c>
      <c r="G13" s="42">
        <f t="shared" si="0"/>
        <v>75395</v>
      </c>
      <c r="H13" s="43">
        <f t="shared" si="0"/>
        <v>80918</v>
      </c>
      <c r="I13" s="44">
        <f t="shared" si="0"/>
        <v>84832</v>
      </c>
      <c r="J13" s="45">
        <f t="shared" si="0"/>
        <v>91286</v>
      </c>
      <c r="K13" s="46">
        <f t="shared" si="0"/>
        <v>90097</v>
      </c>
      <c r="L13" s="47">
        <f t="shared" si="0"/>
        <v>81551</v>
      </c>
      <c r="M13" s="48">
        <f t="shared" si="0"/>
        <v>83942</v>
      </c>
      <c r="N13" s="52">
        <f t="shared" si="0"/>
        <v>70392</v>
      </c>
      <c r="O13" s="49">
        <f t="shared" si="0"/>
        <v>73531</v>
      </c>
      <c r="P13" s="50">
        <f t="shared" si="0"/>
        <v>76658</v>
      </c>
      <c r="Q13" s="2">
        <f t="shared" si="0"/>
        <v>78885</v>
      </c>
    </row>
    <row r="15" spans="1:17" x14ac:dyDescent="0.2">
      <c r="J15" s="434">
        <v>2018</v>
      </c>
      <c r="K15" s="434"/>
      <c r="L15" s="434"/>
    </row>
    <row r="16" spans="1:17" x14ac:dyDescent="0.2">
      <c r="A16" s="1" t="s">
        <v>294</v>
      </c>
      <c r="B16" s="56">
        <v>270.05</v>
      </c>
      <c r="D16" s="444" t="s">
        <v>284</v>
      </c>
      <c r="E16" s="444"/>
      <c r="F16" s="50">
        <v>14077</v>
      </c>
      <c r="G16" s="50">
        <v>12775</v>
      </c>
      <c r="H16" s="50">
        <v>17084</v>
      </c>
      <c r="I16" s="50">
        <v>15618</v>
      </c>
      <c r="J16" s="57">
        <v>13791</v>
      </c>
      <c r="K16" s="57">
        <v>14076</v>
      </c>
      <c r="L16" s="57">
        <v>14715</v>
      </c>
      <c r="M16" s="201">
        <v>14551</v>
      </c>
      <c r="N16" s="202">
        <v>11846</v>
      </c>
      <c r="O16" s="225">
        <v>12494</v>
      </c>
      <c r="P16" s="230">
        <v>11712</v>
      </c>
      <c r="Q16" s="253">
        <v>12679</v>
      </c>
    </row>
    <row r="17" spans="4:19" x14ac:dyDescent="0.2">
      <c r="D17" s="444" t="s">
        <v>285</v>
      </c>
      <c r="E17" s="444"/>
      <c r="F17" s="50">
        <v>17480</v>
      </c>
      <c r="G17" s="50">
        <v>16500</v>
      </c>
      <c r="H17" s="50">
        <v>19240</v>
      </c>
      <c r="I17" s="50">
        <v>21270</v>
      </c>
      <c r="J17" s="2">
        <v>22440</v>
      </c>
      <c r="K17" s="70">
        <v>15440</v>
      </c>
      <c r="L17" s="172">
        <v>18840</v>
      </c>
      <c r="M17" s="201">
        <v>20090</v>
      </c>
      <c r="N17" s="203">
        <v>15230</v>
      </c>
      <c r="O17" s="226">
        <v>17180</v>
      </c>
      <c r="P17" s="200">
        <v>18510</v>
      </c>
      <c r="Q17" s="253">
        <v>19420</v>
      </c>
    </row>
    <row r="18" spans="4:19" x14ac:dyDescent="0.2">
      <c r="D18" s="444" t="s">
        <v>286</v>
      </c>
      <c r="E18" s="444"/>
      <c r="F18" s="50">
        <v>33300</v>
      </c>
      <c r="G18" s="58">
        <v>29520</v>
      </c>
      <c r="H18" s="50">
        <v>38170</v>
      </c>
      <c r="I18" s="50">
        <v>36610</v>
      </c>
      <c r="J18" s="2">
        <v>33550</v>
      </c>
      <c r="K18" s="70">
        <v>30760</v>
      </c>
      <c r="L18" s="172">
        <v>31600</v>
      </c>
      <c r="M18" s="201">
        <v>32270</v>
      </c>
      <c r="N18" s="203">
        <v>29470</v>
      </c>
      <c r="O18" s="226">
        <v>31250</v>
      </c>
      <c r="P18" s="200">
        <v>28500</v>
      </c>
      <c r="Q18" s="253">
        <v>29810</v>
      </c>
    </row>
    <row r="19" spans="4:19" x14ac:dyDescent="0.2">
      <c r="D19" s="444" t="s">
        <v>291</v>
      </c>
      <c r="E19" s="444"/>
      <c r="F19" s="50">
        <v>4195</v>
      </c>
      <c r="G19" s="50">
        <v>3321</v>
      </c>
      <c r="H19" s="50">
        <v>4652</v>
      </c>
      <c r="I19" s="50">
        <v>4722</v>
      </c>
      <c r="J19" s="2">
        <v>4603</v>
      </c>
      <c r="K19" s="70">
        <v>3920</v>
      </c>
      <c r="L19" s="172">
        <v>4343</v>
      </c>
      <c r="M19" s="201">
        <v>3869</v>
      </c>
      <c r="N19" s="204">
        <v>3771</v>
      </c>
      <c r="O19" s="120">
        <v>3885</v>
      </c>
      <c r="P19" s="200">
        <v>4295</v>
      </c>
      <c r="Q19" s="253">
        <v>4709</v>
      </c>
    </row>
    <row r="20" spans="4:19" x14ac:dyDescent="0.2">
      <c r="D20" s="441" t="s">
        <v>290</v>
      </c>
      <c r="E20" s="441"/>
      <c r="F20" s="50">
        <v>8691</v>
      </c>
      <c r="G20" s="50">
        <v>7984</v>
      </c>
      <c r="H20" s="50">
        <v>10924</v>
      </c>
      <c r="I20" s="50">
        <v>9945</v>
      </c>
      <c r="J20" s="2">
        <v>5777</v>
      </c>
      <c r="K20" s="70">
        <v>1959</v>
      </c>
      <c r="L20" s="172">
        <v>906</v>
      </c>
      <c r="M20" s="201">
        <v>857</v>
      </c>
      <c r="N20" s="204">
        <v>699</v>
      </c>
      <c r="O20" s="120">
        <v>820</v>
      </c>
      <c r="P20" s="200">
        <v>694</v>
      </c>
      <c r="Q20" s="253">
        <v>800</v>
      </c>
    </row>
    <row r="21" spans="4:19" x14ac:dyDescent="0.2">
      <c r="D21" s="441" t="s">
        <v>289</v>
      </c>
      <c r="E21" s="441"/>
      <c r="F21" s="2"/>
      <c r="G21" s="2"/>
      <c r="H21" s="2"/>
      <c r="I21" s="58">
        <v>2124</v>
      </c>
      <c r="J21" s="2">
        <v>6683</v>
      </c>
      <c r="K21" s="70">
        <v>4999</v>
      </c>
      <c r="L21" s="172">
        <v>6925</v>
      </c>
      <c r="M21" s="201">
        <v>6615</v>
      </c>
      <c r="N21" s="204">
        <v>4737</v>
      </c>
      <c r="O21" s="120">
        <v>5109</v>
      </c>
      <c r="P21" s="200">
        <v>5865</v>
      </c>
      <c r="Q21" s="253">
        <v>5622</v>
      </c>
    </row>
    <row r="22" spans="4:19" x14ac:dyDescent="0.2">
      <c r="E22" s="1" t="s">
        <v>359</v>
      </c>
      <c r="F22" s="2">
        <f t="shared" ref="F22:K22" si="1">SUM(F16:F21)</f>
        <v>77743</v>
      </c>
      <c r="G22" s="2">
        <f t="shared" si="1"/>
        <v>70100</v>
      </c>
      <c r="H22" s="2">
        <f t="shared" si="1"/>
        <v>90070</v>
      </c>
      <c r="I22" s="2">
        <f t="shared" si="1"/>
        <v>90289</v>
      </c>
      <c r="J22" s="60">
        <f t="shared" si="1"/>
        <v>86844</v>
      </c>
      <c r="K22" s="70">
        <f t="shared" si="1"/>
        <v>71154</v>
      </c>
      <c r="L22" s="172">
        <f t="shared" ref="L22:Q22" si="2">SUM(L16:L21)</f>
        <v>77329</v>
      </c>
      <c r="M22" s="201">
        <f t="shared" si="2"/>
        <v>78252</v>
      </c>
      <c r="N22" s="204">
        <f t="shared" si="2"/>
        <v>65753</v>
      </c>
      <c r="O22" s="120">
        <f t="shared" si="2"/>
        <v>70738</v>
      </c>
      <c r="P22" s="200">
        <f t="shared" si="2"/>
        <v>69576</v>
      </c>
      <c r="Q22" s="253">
        <f t="shared" si="2"/>
        <v>73040</v>
      </c>
    </row>
    <row r="23" spans="4:19" x14ac:dyDescent="0.2">
      <c r="E23" s="1" t="s">
        <v>358</v>
      </c>
      <c r="N23" s="59"/>
      <c r="O23" s="19"/>
      <c r="P23" s="20"/>
    </row>
    <row r="24" spans="4:19" x14ac:dyDescent="0.2">
      <c r="F24" s="18"/>
      <c r="G24" s="18"/>
      <c r="H24" s="18"/>
      <c r="I24" s="18"/>
      <c r="J24" s="18"/>
      <c r="K24" s="406">
        <v>2019</v>
      </c>
      <c r="L24" s="18"/>
      <c r="M24" s="18"/>
      <c r="N24" s="18"/>
      <c r="O24" s="18"/>
      <c r="P24" s="18"/>
      <c r="Q24" s="18"/>
    </row>
    <row r="25" spans="4:19" x14ac:dyDescent="0.2">
      <c r="D25" s="444" t="s">
        <v>284</v>
      </c>
      <c r="E25" s="444"/>
      <c r="F25" s="50">
        <v>13340</v>
      </c>
      <c r="G25" s="50">
        <v>13751</v>
      </c>
      <c r="H25" s="50">
        <v>17367</v>
      </c>
      <c r="I25" s="50">
        <v>18496</v>
      </c>
      <c r="J25" s="57">
        <v>22940</v>
      </c>
      <c r="K25" s="57">
        <v>17321</v>
      </c>
      <c r="L25" s="57">
        <v>17472</v>
      </c>
      <c r="M25" s="307">
        <v>17372</v>
      </c>
      <c r="N25" s="202">
        <v>14530</v>
      </c>
      <c r="O25" s="398">
        <f>+'[2]Sioo 2019'!$D$160</f>
        <v>14092</v>
      </c>
      <c r="P25" s="307">
        <v>13533</v>
      </c>
      <c r="Q25" s="307"/>
      <c r="R25" s="9">
        <v>36991</v>
      </c>
      <c r="S25" s="9">
        <f>+R25/O25</f>
        <v>2.6249645188759581</v>
      </c>
    </row>
    <row r="26" spans="4:19" x14ac:dyDescent="0.2">
      <c r="D26" s="444" t="s">
        <v>285</v>
      </c>
      <c r="E26" s="444"/>
      <c r="F26" s="50">
        <v>19970</v>
      </c>
      <c r="G26" s="50">
        <v>18760</v>
      </c>
      <c r="H26" s="50">
        <v>19900</v>
      </c>
      <c r="I26" s="50">
        <v>21890</v>
      </c>
      <c r="J26" s="307">
        <v>19310</v>
      </c>
      <c r="K26" s="307">
        <v>18220</v>
      </c>
      <c r="L26" s="307">
        <v>16630</v>
      </c>
      <c r="M26" s="307">
        <v>16820</v>
      </c>
      <c r="N26" s="203">
        <v>21140</v>
      </c>
      <c r="O26" s="396">
        <f>+'[2]Sioo 2019'!$D$161</f>
        <v>20970</v>
      </c>
      <c r="P26" s="200">
        <v>19400</v>
      </c>
      <c r="Q26" s="307"/>
      <c r="R26" s="9">
        <v>64378</v>
      </c>
      <c r="S26" s="9">
        <f t="shared" ref="S26:S30" si="3">+R26/O26</f>
        <v>3.0700047687172152</v>
      </c>
    </row>
    <row r="27" spans="4:19" x14ac:dyDescent="0.2">
      <c r="D27" s="444" t="s">
        <v>286</v>
      </c>
      <c r="E27" s="444"/>
      <c r="F27" s="50">
        <v>31480</v>
      </c>
      <c r="G27" s="58">
        <v>30590</v>
      </c>
      <c r="H27" s="50">
        <v>35250</v>
      </c>
      <c r="I27" s="50">
        <v>32980</v>
      </c>
      <c r="J27" s="307">
        <v>39800</v>
      </c>
      <c r="K27" s="307">
        <v>34020</v>
      </c>
      <c r="L27" s="307">
        <v>34390</v>
      </c>
      <c r="M27" s="307">
        <v>35490</v>
      </c>
      <c r="N27" s="203">
        <v>33270</v>
      </c>
      <c r="O27" s="396">
        <f>+'[2]Sioo 2019'!$D$164</f>
        <v>33130</v>
      </c>
      <c r="P27" s="200">
        <v>32290</v>
      </c>
      <c r="Q27" s="307"/>
      <c r="R27" s="9">
        <v>100170</v>
      </c>
      <c r="S27" s="9">
        <f t="shared" si="3"/>
        <v>3.0235436160579536</v>
      </c>
    </row>
    <row r="28" spans="4:19" x14ac:dyDescent="0.2">
      <c r="D28" s="444" t="s">
        <v>291</v>
      </c>
      <c r="E28" s="444"/>
      <c r="F28" s="50">
        <v>4114</v>
      </c>
      <c r="G28" s="50">
        <v>3998</v>
      </c>
      <c r="H28" s="50">
        <v>4629</v>
      </c>
      <c r="I28" s="50">
        <v>4635</v>
      </c>
      <c r="J28" s="337">
        <v>4907</v>
      </c>
      <c r="K28" s="307">
        <v>4566</v>
      </c>
      <c r="L28" s="307">
        <v>4476</v>
      </c>
      <c r="M28" s="307">
        <v>4509</v>
      </c>
      <c r="N28" s="204">
        <v>4377</v>
      </c>
      <c r="O28" s="399">
        <f>+'[2]Sioo 2019'!$D$166</f>
        <v>4277</v>
      </c>
      <c r="P28" s="200">
        <v>4188</v>
      </c>
      <c r="Q28" s="307"/>
      <c r="R28" s="9">
        <v>26659</v>
      </c>
      <c r="S28" s="9">
        <f t="shared" si="3"/>
        <v>6.2331073182137011</v>
      </c>
    </row>
    <row r="29" spans="4:19" x14ac:dyDescent="0.2">
      <c r="D29" s="441" t="s">
        <v>290</v>
      </c>
      <c r="E29" s="441"/>
      <c r="F29" s="50">
        <v>822</v>
      </c>
      <c r="G29" s="50">
        <v>862</v>
      </c>
      <c r="H29" s="50">
        <v>10580</v>
      </c>
      <c r="I29" s="50">
        <v>11400</v>
      </c>
      <c r="J29" s="307">
        <v>12520</v>
      </c>
      <c r="K29" s="307">
        <v>9690</v>
      </c>
      <c r="L29" s="307">
        <v>8890</v>
      </c>
      <c r="M29" s="307">
        <v>9120</v>
      </c>
      <c r="N29" s="204">
        <v>8860</v>
      </c>
      <c r="O29" s="399">
        <f>+'[2]Sioo 2019'!$D$163</f>
        <v>8170</v>
      </c>
      <c r="P29" s="200">
        <v>7770</v>
      </c>
      <c r="Q29" s="307"/>
      <c r="R29" s="9">
        <v>43044</v>
      </c>
      <c r="S29" s="9">
        <f t="shared" si="3"/>
        <v>5.2685434516523868</v>
      </c>
    </row>
    <row r="30" spans="4:19" x14ac:dyDescent="0.2">
      <c r="D30" s="441" t="s">
        <v>289</v>
      </c>
      <c r="E30" s="441"/>
      <c r="F30" s="58">
        <v>6902</v>
      </c>
      <c r="G30" s="58">
        <v>5659</v>
      </c>
      <c r="H30" s="325">
        <v>5747</v>
      </c>
      <c r="I30" s="58">
        <v>5331</v>
      </c>
      <c r="J30" s="307">
        <v>5178</v>
      </c>
      <c r="K30" s="307">
        <v>5257</v>
      </c>
      <c r="L30" s="307">
        <v>5636</v>
      </c>
      <c r="M30" s="307">
        <v>5490</v>
      </c>
      <c r="N30" s="204">
        <v>5120</v>
      </c>
      <c r="O30" s="399">
        <f>+'[2]Sioo 2019'!$D$162</f>
        <v>5285</v>
      </c>
      <c r="P30" s="200">
        <v>5052</v>
      </c>
      <c r="Q30" s="307"/>
      <c r="R30" s="9">
        <v>15605</v>
      </c>
      <c r="S30" s="9">
        <f t="shared" si="3"/>
        <v>2.9526963103122044</v>
      </c>
    </row>
    <row r="31" spans="4:19" x14ac:dyDescent="0.2">
      <c r="E31" s="1" t="s">
        <v>359</v>
      </c>
      <c r="F31" s="307">
        <f t="shared" ref="F31:H31" si="4">SUM(F25:F30)</f>
        <v>76628</v>
      </c>
      <c r="G31" s="58">
        <f t="shared" si="4"/>
        <v>73620</v>
      </c>
      <c r="H31" s="325">
        <f t="shared" si="4"/>
        <v>93473</v>
      </c>
      <c r="I31" s="307">
        <v>94732</v>
      </c>
      <c r="J31" s="306">
        <f t="shared" ref="J31:N31" si="5">SUM(J25:J30)</f>
        <v>104655</v>
      </c>
      <c r="K31" s="307">
        <f t="shared" si="5"/>
        <v>89074</v>
      </c>
      <c r="L31" s="307">
        <f t="shared" si="5"/>
        <v>87494</v>
      </c>
      <c r="M31" s="307">
        <f t="shared" si="5"/>
        <v>88801</v>
      </c>
      <c r="N31" s="204">
        <f t="shared" si="5"/>
        <v>87297</v>
      </c>
      <c r="O31" s="399">
        <f>SUM(O25:O30)</f>
        <v>85924</v>
      </c>
      <c r="P31" s="200">
        <f>SUM(P25:P30)</f>
        <v>82233</v>
      </c>
      <c r="Q31" s="307"/>
      <c r="R31" s="9">
        <f>SUM(R25:R30)</f>
        <v>286847</v>
      </c>
      <c r="S31" s="8">
        <f>SUM(S25:S30)</f>
        <v>23.172859983829419</v>
      </c>
    </row>
    <row r="32" spans="4:19" ht="15" customHeight="1" x14ac:dyDescent="0.2">
      <c r="D32" s="430"/>
      <c r="E32" s="431"/>
      <c r="F32" s="391"/>
      <c r="G32" s="389"/>
      <c r="H32" s="389"/>
      <c r="I32" s="391"/>
      <c r="J32" s="390"/>
      <c r="K32" s="391"/>
      <c r="L32" s="391"/>
      <c r="M32" s="391"/>
      <c r="N32" s="204"/>
      <c r="O32" s="19"/>
      <c r="P32" s="20"/>
      <c r="Q32" s="182"/>
    </row>
    <row r="33" spans="1:16" x14ac:dyDescent="0.2">
      <c r="D33" s="428" t="s">
        <v>354</v>
      </c>
      <c r="E33" s="429"/>
      <c r="F33" s="196">
        <v>318770</v>
      </c>
      <c r="G33" s="196">
        <v>356125.38</v>
      </c>
      <c r="H33" s="196">
        <v>179275.38</v>
      </c>
      <c r="I33" s="196">
        <v>356873.38</v>
      </c>
      <c r="J33" s="196">
        <v>200159.19999999998</v>
      </c>
      <c r="K33" s="196">
        <v>185288.56</v>
      </c>
      <c r="L33" s="196">
        <v>253116.69</v>
      </c>
      <c r="M33" s="196">
        <v>277906.98</v>
      </c>
      <c r="N33" s="196">
        <v>378202.38</v>
      </c>
      <c r="O33" s="9">
        <v>349761.4</v>
      </c>
    </row>
    <row r="34" spans="1:16" x14ac:dyDescent="0.2">
      <c r="D34" s="428" t="s">
        <v>353</v>
      </c>
      <c r="E34" s="429"/>
      <c r="F34" s="392">
        <v>212062</v>
      </c>
      <c r="G34" s="392">
        <v>250881</v>
      </c>
      <c r="H34" s="392">
        <v>235424.24</v>
      </c>
      <c r="I34" s="393">
        <v>319361</v>
      </c>
      <c r="J34" s="393">
        <v>274850</v>
      </c>
      <c r="K34" s="393">
        <v>295078</v>
      </c>
      <c r="L34" s="393">
        <v>325482</v>
      </c>
      <c r="M34" s="393">
        <v>405882</v>
      </c>
      <c r="N34" s="392">
        <v>331967</v>
      </c>
      <c r="O34" s="9">
        <v>435089</v>
      </c>
    </row>
    <row r="35" spans="1:16" x14ac:dyDescent="0.2">
      <c r="D35" s="391" t="s">
        <v>356</v>
      </c>
      <c r="E35" s="391"/>
      <c r="F35" s="196">
        <f>+F34/F31</f>
        <v>2.7674218301404188</v>
      </c>
      <c r="G35" s="196">
        <f t="shared" ref="G35:O35" si="6">+G34/G31</f>
        <v>3.4077832110839448</v>
      </c>
      <c r="H35" s="196">
        <f t="shared" si="6"/>
        <v>2.518633616124442</v>
      </c>
      <c r="I35" s="196">
        <f t="shared" si="6"/>
        <v>3.3712050838153949</v>
      </c>
      <c r="J35" s="196">
        <f t="shared" si="6"/>
        <v>2.626248148678993</v>
      </c>
      <c r="K35" s="196">
        <f t="shared" si="6"/>
        <v>3.3127287423939644</v>
      </c>
      <c r="L35" s="196">
        <f t="shared" si="6"/>
        <v>3.7200493748142729</v>
      </c>
      <c r="M35" s="196">
        <f t="shared" si="6"/>
        <v>4.5706917714890603</v>
      </c>
      <c r="N35" s="196">
        <f t="shared" si="6"/>
        <v>3.8027309071331201</v>
      </c>
      <c r="O35" s="196">
        <f t="shared" si="6"/>
        <v>5.0636492714491874</v>
      </c>
    </row>
    <row r="36" spans="1:16" x14ac:dyDescent="0.2">
      <c r="D36" s="391" t="s">
        <v>355</v>
      </c>
      <c r="E36" s="391"/>
      <c r="F36" s="196">
        <f>+F33/F31</f>
        <v>4.1599676358511246</v>
      </c>
      <c r="G36" s="196">
        <f t="shared" ref="G36:O36" si="7">+G33/G31</f>
        <v>4.8373455582722089</v>
      </c>
      <c r="H36" s="196">
        <f t="shared" si="7"/>
        <v>1.9179375862548544</v>
      </c>
      <c r="I36" s="196">
        <f t="shared" si="7"/>
        <v>3.7671893341215217</v>
      </c>
      <c r="J36" s="196">
        <f t="shared" si="7"/>
        <v>1.9125622282738519</v>
      </c>
      <c r="K36" s="196">
        <f t="shared" si="7"/>
        <v>2.0801643577250375</v>
      </c>
      <c r="L36" s="196">
        <f t="shared" si="7"/>
        <v>2.8929605458660022</v>
      </c>
      <c r="M36" s="196">
        <f t="shared" si="7"/>
        <v>3.1295478654519653</v>
      </c>
      <c r="N36" s="196">
        <f t="shared" si="7"/>
        <v>4.3323639987628439</v>
      </c>
      <c r="O36" s="196">
        <f t="shared" si="7"/>
        <v>4.0705902890926868</v>
      </c>
    </row>
    <row r="37" spans="1:16" x14ac:dyDescent="0.2">
      <c r="D37" s="432"/>
      <c r="E37" s="433"/>
      <c r="F37" s="194">
        <f>SUM(F35:F36)</f>
        <v>6.9273894659915438</v>
      </c>
      <c r="G37" s="194">
        <f t="shared" ref="G37:O37" si="8">SUM(G35:G36)</f>
        <v>8.2451287693561532</v>
      </c>
      <c r="H37" s="194">
        <f t="shared" si="8"/>
        <v>4.4365712023792963</v>
      </c>
      <c r="I37" s="194">
        <f t="shared" si="8"/>
        <v>7.138394417936917</v>
      </c>
      <c r="J37" s="194">
        <f t="shared" si="8"/>
        <v>4.5388103769528447</v>
      </c>
      <c r="K37" s="194">
        <f t="shared" si="8"/>
        <v>5.3928931001190019</v>
      </c>
      <c r="L37" s="194">
        <f t="shared" si="8"/>
        <v>6.613009920680275</v>
      </c>
      <c r="M37" s="194">
        <f t="shared" si="8"/>
        <v>7.700239636941026</v>
      </c>
      <c r="N37" s="194">
        <f t="shared" si="8"/>
        <v>8.135094905895965</v>
      </c>
      <c r="O37" s="194">
        <f t="shared" si="8"/>
        <v>9.1342395605418751</v>
      </c>
    </row>
    <row r="38" spans="1:16" x14ac:dyDescent="0.2">
      <c r="D38" s="391" t="s">
        <v>357</v>
      </c>
      <c r="E38" s="391"/>
      <c r="F38" s="196">
        <v>14.910253414315056</v>
      </c>
      <c r="G38" s="196">
        <v>11.136586020495336</v>
      </c>
      <c r="H38" s="196">
        <v>13.051498831474737</v>
      </c>
      <c r="I38" s="196">
        <v>12.59</v>
      </c>
      <c r="J38" s="196">
        <v>12.400401367137551</v>
      </c>
      <c r="K38" s="196">
        <v>11.313021381383985</v>
      </c>
      <c r="L38" s="394">
        <v>14.891531418549539</v>
      </c>
      <c r="M38" s="196">
        <v>13.175617057588498</v>
      </c>
      <c r="N38" s="196">
        <v>12.781152814047655</v>
      </c>
      <c r="O38" s="196">
        <v>12.781152814047655</v>
      </c>
    </row>
    <row r="39" spans="1:16" x14ac:dyDescent="0.2">
      <c r="D39" s="432"/>
      <c r="E39" s="433"/>
      <c r="F39" s="194">
        <f>+F38-F37</f>
        <v>7.9828639483235122</v>
      </c>
      <c r="G39" s="194">
        <f t="shared" ref="G39:N39" si="9">+G38-G37</f>
        <v>2.8914572511391832</v>
      </c>
      <c r="H39" s="194">
        <f t="shared" si="9"/>
        <v>8.6149276290954404</v>
      </c>
      <c r="I39" s="194">
        <f t="shared" si="9"/>
        <v>5.4516055820630829</v>
      </c>
      <c r="J39" s="194">
        <f t="shared" si="9"/>
        <v>7.8615909901847063</v>
      </c>
      <c r="K39" s="194">
        <f t="shared" si="9"/>
        <v>5.9201282812649829</v>
      </c>
      <c r="L39" s="194">
        <f t="shared" si="9"/>
        <v>8.2785214978692636</v>
      </c>
      <c r="M39" s="194">
        <f t="shared" si="9"/>
        <v>5.4753774206474723</v>
      </c>
      <c r="N39" s="194">
        <f t="shared" si="9"/>
        <v>4.6460579081516897</v>
      </c>
    </row>
    <row r="40" spans="1:16" x14ac:dyDescent="0.2">
      <c r="F40" s="18">
        <f>+F37/F38</f>
        <v>0.46460574971453444</v>
      </c>
      <c r="G40" s="18">
        <f t="shared" ref="G40:N40" si="10">+G37/G38</f>
        <v>0.74036412543145103</v>
      </c>
      <c r="H40" s="18">
        <f t="shared" si="10"/>
        <v>0.33992810018724812</v>
      </c>
      <c r="I40" s="18">
        <f t="shared" si="10"/>
        <v>0.5669892309719553</v>
      </c>
      <c r="J40" s="18">
        <f t="shared" si="10"/>
        <v>0.36602124742358738</v>
      </c>
      <c r="K40" s="18">
        <f t="shared" si="10"/>
        <v>0.47669786154503485</v>
      </c>
      <c r="L40" s="18">
        <f t="shared" si="10"/>
        <v>0.44407856618714331</v>
      </c>
      <c r="M40" s="18">
        <f t="shared" si="10"/>
        <v>0.58443104435143489</v>
      </c>
      <c r="N40" s="18">
        <f t="shared" si="10"/>
        <v>0.636491482752225</v>
      </c>
      <c r="O40" s="17"/>
      <c r="P40" s="18"/>
    </row>
    <row r="42" spans="1:16" ht="12" thickBot="1" x14ac:dyDescent="0.25"/>
    <row r="43" spans="1:16" ht="23.25" customHeight="1" thickTop="1" x14ac:dyDescent="0.2">
      <c r="A43" s="437" t="s">
        <v>248</v>
      </c>
      <c r="B43" s="439" t="s">
        <v>249</v>
      </c>
      <c r="C43" s="445" t="s">
        <v>250</v>
      </c>
    </row>
    <row r="44" spans="1:16" ht="12.75" customHeight="1" thickBot="1" x14ac:dyDescent="0.25">
      <c r="A44" s="438"/>
      <c r="B44" s="440"/>
      <c r="C44" s="446"/>
    </row>
    <row r="45" spans="1:16" ht="12" thickTop="1" x14ac:dyDescent="0.2">
      <c r="A45" s="61" t="s">
        <v>251</v>
      </c>
      <c r="B45" s="62">
        <v>15295</v>
      </c>
      <c r="C45" s="63">
        <v>17920</v>
      </c>
    </row>
    <row r="46" spans="1:16" x14ac:dyDescent="0.2">
      <c r="A46" s="64" t="s">
        <v>252</v>
      </c>
      <c r="B46" s="65">
        <v>21080</v>
      </c>
      <c r="C46" s="66">
        <v>31200</v>
      </c>
    </row>
    <row r="47" spans="1:16" x14ac:dyDescent="0.2">
      <c r="A47" s="64" t="s">
        <v>253</v>
      </c>
      <c r="B47" s="65" t="s">
        <v>254</v>
      </c>
      <c r="C47" s="65" t="s">
        <v>254</v>
      </c>
    </row>
    <row r="48" spans="1:16" x14ac:dyDescent="0.2">
      <c r="A48" s="64" t="s">
        <v>255</v>
      </c>
      <c r="B48" s="65">
        <v>11880</v>
      </c>
      <c r="C48" s="66">
        <v>0</v>
      </c>
    </row>
    <row r="49" spans="1:3" x14ac:dyDescent="0.2">
      <c r="A49" s="64" t="s">
        <v>256</v>
      </c>
      <c r="B49" s="65">
        <v>37670</v>
      </c>
      <c r="C49" s="66">
        <v>36480</v>
      </c>
    </row>
    <row r="50" spans="1:3" x14ac:dyDescent="0.2">
      <c r="A50" s="64" t="s">
        <v>257</v>
      </c>
      <c r="B50" s="65" t="s">
        <v>254</v>
      </c>
      <c r="C50" s="65" t="s">
        <v>254</v>
      </c>
    </row>
    <row r="51" spans="1:3" x14ac:dyDescent="0.2">
      <c r="A51" s="64" t="s">
        <v>258</v>
      </c>
      <c r="B51" s="65">
        <v>4172</v>
      </c>
      <c r="C51" s="66">
        <v>14018</v>
      </c>
    </row>
    <row r="52" spans="1:3" ht="12" thickBot="1" x14ac:dyDescent="0.25">
      <c r="A52" s="67" t="s">
        <v>259</v>
      </c>
      <c r="B52" s="68">
        <f>SUM(B45:B51)</f>
        <v>90097</v>
      </c>
      <c r="C52" s="69">
        <f>SUM(C45:C51)</f>
        <v>99618</v>
      </c>
    </row>
    <row r="53" spans="1:3" ht="12" thickTop="1" x14ac:dyDescent="0.2"/>
  </sheetData>
  <mergeCells count="28">
    <mergeCell ref="A43:A44"/>
    <mergeCell ref="B43:B44"/>
    <mergeCell ref="D21:E21"/>
    <mergeCell ref="D10:E10"/>
    <mergeCell ref="D16:E16"/>
    <mergeCell ref="D17:E17"/>
    <mergeCell ref="D18:E18"/>
    <mergeCell ref="D19:E19"/>
    <mergeCell ref="D20:E20"/>
    <mergeCell ref="D25:E25"/>
    <mergeCell ref="D26:E26"/>
    <mergeCell ref="D27:E27"/>
    <mergeCell ref="D28:E28"/>
    <mergeCell ref="D29:E29"/>
    <mergeCell ref="D30:E30"/>
    <mergeCell ref="C43:C44"/>
    <mergeCell ref="J4:L4"/>
    <mergeCell ref="J15:L15"/>
    <mergeCell ref="D4:G4"/>
    <mergeCell ref="D6:E6"/>
    <mergeCell ref="D7:E7"/>
    <mergeCell ref="D8:E8"/>
    <mergeCell ref="D9:E9"/>
    <mergeCell ref="D33:E33"/>
    <mergeCell ref="D32:E32"/>
    <mergeCell ref="D39:E39"/>
    <mergeCell ref="D34:E34"/>
    <mergeCell ref="D37:E37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"/>
  <sheetViews>
    <sheetView workbookViewId="0">
      <selection activeCell="G24" sqref="G24"/>
    </sheetView>
  </sheetViews>
  <sheetFormatPr baseColWidth="10" defaultRowHeight="11.25" x14ac:dyDescent="0.2"/>
  <cols>
    <col min="1" max="1" width="13" style="1" customWidth="1"/>
    <col min="2" max="11" width="9.7109375" style="1" customWidth="1"/>
    <col min="12" max="12" width="6.42578125" style="1" customWidth="1"/>
    <col min="13" max="13" width="7.42578125" style="1" customWidth="1"/>
    <col min="14" max="14" width="8.5703125" style="1" customWidth="1"/>
    <col min="15" max="15" width="7.42578125" style="1" customWidth="1"/>
    <col min="16" max="16" width="6.140625" style="1" customWidth="1"/>
    <col min="17" max="17" width="8.28515625" style="1" customWidth="1"/>
    <col min="18" max="18" width="7.28515625" style="1" customWidth="1"/>
    <col min="19" max="19" width="9" style="1" customWidth="1"/>
    <col min="20" max="20" width="9.42578125" style="1" customWidth="1"/>
    <col min="21" max="21" width="7.140625" style="1" customWidth="1"/>
    <col min="22" max="22" width="10.7109375" style="1" customWidth="1"/>
    <col min="23" max="23" width="6.140625" style="1" customWidth="1"/>
    <col min="24" max="24" width="8.42578125" style="1" customWidth="1"/>
    <col min="25" max="25" width="7.7109375" style="1" customWidth="1"/>
    <col min="26" max="16384" width="11.42578125" style="1"/>
  </cols>
  <sheetData>
    <row r="2" spans="1:27" x14ac:dyDescent="0.2">
      <c r="C2" s="1" t="s">
        <v>52</v>
      </c>
    </row>
    <row r="3" spans="1:27" x14ac:dyDescent="0.2">
      <c r="D3" s="183"/>
      <c r="E3" s="183"/>
      <c r="L3" s="231"/>
      <c r="M3" s="231"/>
    </row>
    <row r="4" spans="1:27" x14ac:dyDescent="0.2">
      <c r="A4" s="182"/>
      <c r="B4" s="183"/>
      <c r="C4" s="421"/>
      <c r="D4" s="421"/>
      <c r="E4" s="421"/>
      <c r="L4" s="232"/>
      <c r="M4" s="182"/>
    </row>
    <row r="5" spans="1:27" x14ac:dyDescent="0.2">
      <c r="A5" s="182"/>
      <c r="B5" s="182"/>
      <c r="C5" s="182"/>
      <c r="D5" s="182"/>
      <c r="E5" s="233"/>
      <c r="L5" s="182"/>
      <c r="M5" s="182"/>
    </row>
    <row r="6" spans="1:27" x14ac:dyDescent="0.2">
      <c r="A6" s="182"/>
      <c r="B6" s="234"/>
      <c r="C6" s="182"/>
      <c r="D6" s="182"/>
      <c r="E6" s="182"/>
      <c r="L6" s="182"/>
      <c r="M6" s="182"/>
    </row>
    <row r="8" spans="1:27" ht="19.5" customHeight="1" x14ac:dyDescent="0.2">
      <c r="G8" s="1">
        <v>2017</v>
      </c>
    </row>
    <row r="9" spans="1:27" x14ac:dyDescent="0.2">
      <c r="B9" s="235" t="s">
        <v>4</v>
      </c>
      <c r="C9" s="236" t="s">
        <v>5</v>
      </c>
      <c r="D9" s="237" t="s">
        <v>6</v>
      </c>
      <c r="E9" s="237" t="s">
        <v>7</v>
      </c>
      <c r="F9" s="237" t="s">
        <v>8</v>
      </c>
      <c r="G9" s="237" t="s">
        <v>9</v>
      </c>
      <c r="H9" s="238" t="s">
        <v>10</v>
      </c>
      <c r="I9" s="237" t="s">
        <v>262</v>
      </c>
      <c r="J9" s="237" t="s">
        <v>263</v>
      </c>
      <c r="K9" s="237" t="s">
        <v>264</v>
      </c>
      <c r="L9" s="237" t="s">
        <v>265</v>
      </c>
      <c r="M9" s="237" t="s">
        <v>266</v>
      </c>
      <c r="N9" s="10"/>
    </row>
    <row r="10" spans="1:27" x14ac:dyDescent="0.2">
      <c r="A10" s="1" t="s">
        <v>53</v>
      </c>
      <c r="B10" s="45">
        <v>18503</v>
      </c>
      <c r="C10" s="43">
        <v>19227</v>
      </c>
      <c r="D10" s="239">
        <v>20110</v>
      </c>
      <c r="E10" s="239">
        <v>20279</v>
      </c>
      <c r="F10" s="240">
        <v>20744</v>
      </c>
      <c r="G10" s="88">
        <v>20860</v>
      </c>
      <c r="H10" s="171">
        <v>22566</v>
      </c>
      <c r="I10" s="241">
        <f>'[3]PTAR 2017'!$E$299</f>
        <v>22357</v>
      </c>
      <c r="J10" s="227">
        <v>21005</v>
      </c>
      <c r="K10" s="227">
        <v>21655</v>
      </c>
      <c r="L10" s="227">
        <v>19994</v>
      </c>
      <c r="M10" s="227">
        <v>18836</v>
      </c>
      <c r="AA10" s="1">
        <f>SUM(B18:M18)</f>
        <v>249233</v>
      </c>
    </row>
    <row r="11" spans="1:27" x14ac:dyDescent="0.2">
      <c r="A11" s="1" t="s">
        <v>54</v>
      </c>
      <c r="B11" s="45">
        <v>12088</v>
      </c>
      <c r="C11" s="43">
        <v>10732.8</v>
      </c>
      <c r="D11" s="239">
        <v>11721.599999999977</v>
      </c>
      <c r="E11" s="239">
        <v>14303.1</v>
      </c>
      <c r="F11" s="243">
        <v>14862.2</v>
      </c>
      <c r="G11" s="244">
        <v>17092</v>
      </c>
      <c r="H11" s="171">
        <v>19553.3</v>
      </c>
      <c r="I11" s="50">
        <f>'[3]PTAR 2017'!$H$299</f>
        <v>19155.200000000012</v>
      </c>
      <c r="J11" s="227">
        <v>18500.900000000001</v>
      </c>
      <c r="K11" s="227">
        <v>19004</v>
      </c>
      <c r="L11" s="245">
        <v>17081</v>
      </c>
      <c r="M11" s="251">
        <v>16639</v>
      </c>
    </row>
    <row r="12" spans="1:27" x14ac:dyDescent="0.2">
      <c r="A12" s="1" t="s">
        <v>261</v>
      </c>
      <c r="B12" s="45">
        <f t="shared" ref="B12:M12" si="0">+B10-B11</f>
        <v>6415</v>
      </c>
      <c r="C12" s="45">
        <f t="shared" si="0"/>
        <v>8494.2000000000007</v>
      </c>
      <c r="D12" s="45">
        <f t="shared" si="0"/>
        <v>8388.4000000000233</v>
      </c>
      <c r="E12" s="45">
        <f t="shared" si="0"/>
        <v>5975.9</v>
      </c>
      <c r="F12" s="45">
        <f t="shared" si="0"/>
        <v>5881.7999999999993</v>
      </c>
      <c r="G12" s="45">
        <f t="shared" si="0"/>
        <v>3768</v>
      </c>
      <c r="H12" s="45">
        <f t="shared" si="0"/>
        <v>3012.7000000000007</v>
      </c>
      <c r="I12" s="45">
        <f t="shared" si="0"/>
        <v>3201.7999999999884</v>
      </c>
      <c r="J12" s="45">
        <f t="shared" si="0"/>
        <v>2504.0999999999985</v>
      </c>
      <c r="K12" s="45">
        <f t="shared" si="0"/>
        <v>2651</v>
      </c>
      <c r="L12" s="45">
        <f t="shared" si="0"/>
        <v>2913</v>
      </c>
      <c r="M12" s="45">
        <f t="shared" si="0"/>
        <v>2197</v>
      </c>
    </row>
    <row r="13" spans="1:27" x14ac:dyDescent="0.2">
      <c r="A13" s="1" t="s">
        <v>292</v>
      </c>
      <c r="B13" s="18">
        <f>+B11/B10</f>
        <v>0.65329946495162949</v>
      </c>
      <c r="C13" s="18">
        <f t="shared" ref="C13:M13" si="1">+C11/C10</f>
        <v>0.55821501014198782</v>
      </c>
      <c r="D13" s="18">
        <f t="shared" si="1"/>
        <v>0.58287419194430512</v>
      </c>
      <c r="E13" s="18">
        <f t="shared" si="1"/>
        <v>0.70531584397652747</v>
      </c>
      <c r="F13" s="18">
        <f t="shared" si="1"/>
        <v>0.71645777092171237</v>
      </c>
      <c r="G13" s="18">
        <f t="shared" si="1"/>
        <v>0.8193672099712368</v>
      </c>
      <c r="H13" s="18">
        <f t="shared" si="1"/>
        <v>0.86649384029070275</v>
      </c>
      <c r="I13" s="18">
        <f t="shared" si="1"/>
        <v>0.85678758330724214</v>
      </c>
      <c r="J13" s="18">
        <f t="shared" si="1"/>
        <v>0.88078552725541548</v>
      </c>
      <c r="K13" s="18">
        <f t="shared" si="1"/>
        <v>0.87758023551142927</v>
      </c>
      <c r="L13" s="18">
        <f t="shared" si="1"/>
        <v>0.85430629188756624</v>
      </c>
      <c r="M13" s="18">
        <f t="shared" si="1"/>
        <v>0.88336164790826077</v>
      </c>
    </row>
    <row r="14" spans="1:27" x14ac:dyDescent="0.2">
      <c r="A14" s="1" t="s">
        <v>293</v>
      </c>
      <c r="B14" s="18">
        <f>100%-B13</f>
        <v>0.34670053504837051</v>
      </c>
      <c r="C14" s="18">
        <f t="shared" ref="C14:M14" si="2">100%-C13</f>
        <v>0.44178498985801218</v>
      </c>
      <c r="D14" s="18">
        <f t="shared" si="2"/>
        <v>0.41712580805569488</v>
      </c>
      <c r="E14" s="18">
        <f t="shared" si="2"/>
        <v>0.29468415602347253</v>
      </c>
      <c r="F14" s="18">
        <f t="shared" si="2"/>
        <v>0.28354222907828763</v>
      </c>
      <c r="G14" s="18">
        <f t="shared" si="2"/>
        <v>0.1806327900287632</v>
      </c>
      <c r="H14" s="18">
        <f t="shared" si="2"/>
        <v>0.13350615970929725</v>
      </c>
      <c r="I14" s="18">
        <f t="shared" si="2"/>
        <v>0.14321241669275786</v>
      </c>
      <c r="J14" s="18">
        <f t="shared" si="2"/>
        <v>0.11921447274458452</v>
      </c>
      <c r="K14" s="18">
        <f t="shared" si="2"/>
        <v>0.12241976448857073</v>
      </c>
      <c r="L14" s="18">
        <f t="shared" si="2"/>
        <v>0.14569370811243376</v>
      </c>
      <c r="M14" s="18">
        <f t="shared" si="2"/>
        <v>0.11663835209173923</v>
      </c>
    </row>
    <row r="16" spans="1:27" x14ac:dyDescent="0.2">
      <c r="G16" s="1">
        <v>2018</v>
      </c>
    </row>
    <row r="17" spans="2:15" x14ac:dyDescent="0.2">
      <c r="B17" s="235" t="s">
        <v>4</v>
      </c>
      <c r="C17" s="236" t="s">
        <v>5</v>
      </c>
      <c r="D17" s="237" t="s">
        <v>6</v>
      </c>
      <c r="E17" s="237" t="s">
        <v>7</v>
      </c>
      <c r="F17" s="237" t="s">
        <v>8</v>
      </c>
      <c r="G17" s="237" t="s">
        <v>9</v>
      </c>
      <c r="H17" s="238" t="s">
        <v>10</v>
      </c>
      <c r="I17" s="237" t="s">
        <v>262</v>
      </c>
      <c r="J17" s="237" t="s">
        <v>263</v>
      </c>
      <c r="K17" s="237" t="s">
        <v>264</v>
      </c>
      <c r="L17" s="237" t="s">
        <v>265</v>
      </c>
      <c r="M17" s="237" t="s">
        <v>266</v>
      </c>
    </row>
    <row r="18" spans="2:15" x14ac:dyDescent="0.2">
      <c r="B18" s="242">
        <v>17318</v>
      </c>
      <c r="C18" s="43">
        <v>16696</v>
      </c>
      <c r="D18" s="239">
        <v>16872</v>
      </c>
      <c r="E18" s="239">
        <v>17873</v>
      </c>
      <c r="F18" s="240">
        <v>21564</v>
      </c>
      <c r="G18" s="88">
        <v>21515</v>
      </c>
      <c r="H18" s="171">
        <v>22972</v>
      </c>
      <c r="I18" s="241">
        <v>21827</v>
      </c>
      <c r="J18" s="227">
        <v>23577</v>
      </c>
      <c r="K18" s="227">
        <v>25338</v>
      </c>
      <c r="L18" s="227">
        <v>23921</v>
      </c>
      <c r="M18" s="227">
        <v>19760</v>
      </c>
      <c r="N18" s="1">
        <f>SUM(B18:M18)</f>
        <v>249233</v>
      </c>
    </row>
    <row r="19" spans="2:15" x14ac:dyDescent="0.2">
      <c r="B19" s="242">
        <v>13491</v>
      </c>
      <c r="C19" s="242">
        <v>13579</v>
      </c>
      <c r="D19" s="247">
        <v>13570</v>
      </c>
      <c r="E19" s="248">
        <v>14750</v>
      </c>
      <c r="F19" s="243">
        <v>18799</v>
      </c>
      <c r="G19" s="244">
        <v>17234</v>
      </c>
      <c r="H19" s="171">
        <v>20530</v>
      </c>
      <c r="I19" s="50">
        <v>18898.5</v>
      </c>
      <c r="J19" s="227">
        <v>19523.400000000001</v>
      </c>
      <c r="K19" s="227">
        <v>20224.5</v>
      </c>
      <c r="L19" s="249">
        <v>17583.900000000001</v>
      </c>
      <c r="M19" s="246">
        <v>14860</v>
      </c>
      <c r="N19" s="250">
        <f>SUM(B19:M19)</f>
        <v>203043.3</v>
      </c>
    </row>
    <row r="20" spans="2:15" x14ac:dyDescent="0.2">
      <c r="B20" s="45">
        <f t="shared" ref="B20:I20" si="3">+B18-B19</f>
        <v>3827</v>
      </c>
      <c r="C20" s="45">
        <f t="shared" si="3"/>
        <v>3117</v>
      </c>
      <c r="D20" s="45">
        <f t="shared" si="3"/>
        <v>3302</v>
      </c>
      <c r="E20" s="45">
        <f t="shared" si="3"/>
        <v>3123</v>
      </c>
      <c r="F20" s="45">
        <f t="shared" si="3"/>
        <v>2765</v>
      </c>
      <c r="G20" s="45">
        <f t="shared" si="3"/>
        <v>4281</v>
      </c>
      <c r="H20" s="45">
        <f t="shared" si="3"/>
        <v>2442</v>
      </c>
      <c r="I20" s="45">
        <f t="shared" si="3"/>
        <v>2928.5</v>
      </c>
      <c r="J20" s="45">
        <f>+J18-J19</f>
        <v>4053.5999999999985</v>
      </c>
      <c r="K20" s="45">
        <f>+K18-K19</f>
        <v>5113.5</v>
      </c>
      <c r="L20" s="45">
        <f>+L18-L19</f>
        <v>6337.0999999999985</v>
      </c>
      <c r="M20" s="45">
        <f>+M18-M19</f>
        <v>4900</v>
      </c>
      <c r="N20" s="250"/>
    </row>
    <row r="21" spans="2:15" x14ac:dyDescent="0.2">
      <c r="B21" s="18">
        <f t="shared" ref="B21:I21" si="4">+B19/B18</f>
        <v>0.77901605266197016</v>
      </c>
      <c r="C21" s="18">
        <f t="shared" si="4"/>
        <v>0.81330857690464786</v>
      </c>
      <c r="D21" s="18">
        <f t="shared" si="4"/>
        <v>0.80429113323850165</v>
      </c>
      <c r="E21" s="18">
        <f t="shared" si="4"/>
        <v>0.82526716275946954</v>
      </c>
      <c r="F21" s="18">
        <f t="shared" si="4"/>
        <v>0.87177703580040811</v>
      </c>
      <c r="G21" s="18">
        <f t="shared" si="4"/>
        <v>0.80102254241227056</v>
      </c>
      <c r="H21" s="18">
        <f t="shared" si="4"/>
        <v>0.89369667421208432</v>
      </c>
      <c r="I21" s="18">
        <f t="shared" si="4"/>
        <v>0.86583130984560408</v>
      </c>
      <c r="J21" s="18">
        <f>+J19/J18</f>
        <v>0.8280697289731519</v>
      </c>
      <c r="K21" s="18">
        <f>+K19/K18</f>
        <v>0.79818849159365379</v>
      </c>
      <c r="L21" s="18">
        <f>+L19/L18</f>
        <v>0.7350821453952594</v>
      </c>
      <c r="M21" s="18">
        <f>+M19/M18</f>
        <v>0.75202429149797567</v>
      </c>
    </row>
    <row r="22" spans="2:15" x14ac:dyDescent="0.2">
      <c r="B22" s="18">
        <f t="shared" ref="B22:I22" si="5">100%-B21</f>
        <v>0.22098394733802984</v>
      </c>
      <c r="C22" s="18">
        <f t="shared" si="5"/>
        <v>0.18669142309535214</v>
      </c>
      <c r="D22" s="18">
        <f t="shared" si="5"/>
        <v>0.19570886676149835</v>
      </c>
      <c r="E22" s="18">
        <f t="shared" si="5"/>
        <v>0.17473283724053046</v>
      </c>
      <c r="F22" s="18">
        <f t="shared" si="5"/>
        <v>0.12822296419959189</v>
      </c>
      <c r="G22" s="18">
        <f t="shared" si="5"/>
        <v>0.19897745758772944</v>
      </c>
      <c r="H22" s="18">
        <f t="shared" si="5"/>
        <v>0.10630332578791568</v>
      </c>
      <c r="I22" s="18">
        <f t="shared" si="5"/>
        <v>0.13416869015439592</v>
      </c>
      <c r="J22" s="18">
        <f>100%-J21</f>
        <v>0.1719302710268481</v>
      </c>
      <c r="K22" s="18">
        <f>100%-K21</f>
        <v>0.20181150840634621</v>
      </c>
      <c r="L22" s="18">
        <f>100%-L21</f>
        <v>0.2649178546047406</v>
      </c>
      <c r="M22" s="18">
        <f>100%-M21</f>
        <v>0.24797570850202433</v>
      </c>
      <c r="N22" s="9"/>
      <c r="O22" s="8"/>
    </row>
    <row r="24" spans="2:15" x14ac:dyDescent="0.2">
      <c r="G24" s="407">
        <v>2019</v>
      </c>
      <c r="L24" s="8"/>
    </row>
    <row r="25" spans="2:15" x14ac:dyDescent="0.2">
      <c r="B25" s="235" t="s">
        <v>4</v>
      </c>
      <c r="C25" s="236" t="s">
        <v>5</v>
      </c>
      <c r="D25" s="237" t="s">
        <v>6</v>
      </c>
      <c r="E25" s="237" t="s">
        <v>7</v>
      </c>
      <c r="F25" s="237" t="s">
        <v>8</v>
      </c>
      <c r="G25" s="237" t="s">
        <v>9</v>
      </c>
      <c r="H25" s="238" t="s">
        <v>10</v>
      </c>
      <c r="I25" s="237" t="s">
        <v>262</v>
      </c>
      <c r="J25" s="237" t="s">
        <v>263</v>
      </c>
      <c r="K25" s="237" t="s">
        <v>264</v>
      </c>
      <c r="L25" s="237" t="s">
        <v>265</v>
      </c>
      <c r="M25" s="237" t="s">
        <v>266</v>
      </c>
    </row>
    <row r="26" spans="2:15" x14ac:dyDescent="0.2">
      <c r="B26" s="242">
        <v>20461</v>
      </c>
      <c r="C26" s="43">
        <v>22420</v>
      </c>
      <c r="D26" s="239">
        <v>23034</v>
      </c>
      <c r="E26" s="239">
        <f>+SIOO17!AF50</f>
        <v>22111</v>
      </c>
      <c r="F26" s="240">
        <f>+SIOO17!AG49</f>
        <v>29295</v>
      </c>
      <c r="G26" s="88">
        <v>21621</v>
      </c>
      <c r="H26" s="88">
        <f>+SIOO17!AI50</f>
        <v>20988</v>
      </c>
      <c r="I26" s="88">
        <f>+SIOO17!AJ50</f>
        <v>22269.4</v>
      </c>
      <c r="J26" s="307">
        <v>20743.7</v>
      </c>
      <c r="K26" s="307">
        <v>20222.400000000001</v>
      </c>
      <c r="L26" s="307">
        <v>17831.3</v>
      </c>
      <c r="M26" s="307"/>
    </row>
    <row r="27" spans="2:15" x14ac:dyDescent="0.2">
      <c r="B27" s="242">
        <v>15835</v>
      </c>
      <c r="C27" s="242">
        <v>19091.3</v>
      </c>
      <c r="D27" s="247">
        <v>19192</v>
      </c>
      <c r="E27" s="248">
        <f>+SIOO17!AF52</f>
        <v>19301</v>
      </c>
      <c r="F27" s="243">
        <f>+SIOO17!AG52</f>
        <v>18437</v>
      </c>
      <c r="G27" s="244">
        <v>18490</v>
      </c>
      <c r="H27" s="171">
        <f>+SIOO17!AI52</f>
        <v>19283</v>
      </c>
      <c r="I27" s="171">
        <f>+SIOO17!AJ52</f>
        <v>18969.400000000001</v>
      </c>
      <c r="J27" s="307">
        <v>17443.7</v>
      </c>
      <c r="K27" s="307">
        <v>16922.400000000001</v>
      </c>
      <c r="L27" s="249">
        <v>14531.3</v>
      </c>
      <c r="M27" s="246"/>
    </row>
    <row r="28" spans="2:15" x14ac:dyDescent="0.2">
      <c r="B28" s="45">
        <f t="shared" ref="B28:H28" si="6">+B26-B27</f>
        <v>4626</v>
      </c>
      <c r="C28" s="45">
        <f t="shared" si="6"/>
        <v>3328.7000000000007</v>
      </c>
      <c r="D28" s="45">
        <f t="shared" si="6"/>
        <v>3842</v>
      </c>
      <c r="E28" s="45">
        <f t="shared" si="6"/>
        <v>2810</v>
      </c>
      <c r="F28" s="45">
        <f t="shared" si="6"/>
        <v>10858</v>
      </c>
      <c r="G28" s="45">
        <f t="shared" si="6"/>
        <v>3131</v>
      </c>
      <c r="H28" s="45">
        <f t="shared" si="6"/>
        <v>1705</v>
      </c>
      <c r="I28" s="45">
        <v>4025.7</v>
      </c>
      <c r="J28" s="45">
        <f>+J26-J27</f>
        <v>3300</v>
      </c>
      <c r="K28" s="45">
        <f>+K26-K27</f>
        <v>3300</v>
      </c>
      <c r="L28" s="45">
        <f>+L26-L27</f>
        <v>3300</v>
      </c>
      <c r="M28" s="45"/>
    </row>
    <row r="29" spans="2:15" x14ac:dyDescent="0.2">
      <c r="B29" s="18">
        <f t="shared" ref="B29:I29" si="7">+B27/B26</f>
        <v>0.77391134353159674</v>
      </c>
      <c r="C29" s="18">
        <f t="shared" si="7"/>
        <v>0.85152988403211416</v>
      </c>
      <c r="D29" s="18">
        <f t="shared" si="7"/>
        <v>0.83320309108274726</v>
      </c>
      <c r="E29" s="18">
        <f t="shared" si="7"/>
        <v>0.8729139342408756</v>
      </c>
      <c r="F29" s="18">
        <f t="shared" si="7"/>
        <v>0.62935654548557773</v>
      </c>
      <c r="G29" s="18">
        <f t="shared" si="7"/>
        <v>0.85518708662874054</v>
      </c>
      <c r="H29" s="18">
        <f t="shared" si="7"/>
        <v>0.91876310272536688</v>
      </c>
      <c r="I29" s="18">
        <f t="shared" si="7"/>
        <v>0.85181459760927547</v>
      </c>
      <c r="J29" s="18">
        <f>+J27/J26</f>
        <v>0.84091555508419424</v>
      </c>
      <c r="K29" s="18">
        <f>+K27/K26</f>
        <v>0.83681462140992169</v>
      </c>
      <c r="L29" s="18">
        <f>+L27/L26</f>
        <v>0.81493216983618688</v>
      </c>
      <c r="M29" s="18" t="e">
        <f>+M27/M26</f>
        <v>#DIV/0!</v>
      </c>
    </row>
    <row r="30" spans="2:15" x14ac:dyDescent="0.2">
      <c r="B30" s="18">
        <f t="shared" ref="B30:I30" si="8">100%-B29</f>
        <v>0.22608865646840326</v>
      </c>
      <c r="C30" s="18">
        <f t="shared" si="8"/>
        <v>0.14847011596788584</v>
      </c>
      <c r="D30" s="18">
        <f t="shared" si="8"/>
        <v>0.16679690891725274</v>
      </c>
      <c r="E30" s="18">
        <f t="shared" si="8"/>
        <v>0.1270860657591244</v>
      </c>
      <c r="F30" s="18">
        <f t="shared" si="8"/>
        <v>0.37064345451442227</v>
      </c>
      <c r="G30" s="18">
        <f t="shared" si="8"/>
        <v>0.14481291337125946</v>
      </c>
      <c r="H30" s="18">
        <f t="shared" si="8"/>
        <v>8.1236897274633124E-2</v>
      </c>
      <c r="I30" s="18">
        <f t="shared" si="8"/>
        <v>0.14818540239072453</v>
      </c>
      <c r="J30" s="18">
        <f>100%-J29</f>
        <v>0.15908444491580576</v>
      </c>
      <c r="K30" s="18">
        <f>100%-K29</f>
        <v>0.16318537859007831</v>
      </c>
      <c r="L30" s="18">
        <f>100%-L29</f>
        <v>0.18506783016381312</v>
      </c>
      <c r="M30" s="18" t="e">
        <f>100%-M29</f>
        <v>#DIV/0!</v>
      </c>
    </row>
    <row r="32" spans="2:15" x14ac:dyDescent="0.2">
      <c r="B32" s="9">
        <v>34951</v>
      </c>
      <c r="C32" s="9">
        <v>15671</v>
      </c>
      <c r="D32" s="9">
        <v>19958</v>
      </c>
      <c r="E32" s="9">
        <v>13189</v>
      </c>
      <c r="F32" s="9">
        <v>21932</v>
      </c>
      <c r="G32" s="9">
        <v>13318</v>
      </c>
      <c r="H32" s="9">
        <v>23104.38</v>
      </c>
      <c r="I32" s="9">
        <v>16500</v>
      </c>
      <c r="J32" s="9">
        <v>8602</v>
      </c>
    </row>
    <row r="33" spans="2:10" x14ac:dyDescent="0.2">
      <c r="B33" s="9">
        <f>+B32/B27</f>
        <v>2.2071992421850331</v>
      </c>
      <c r="C33" s="9">
        <f t="shared" ref="C33:J33" si="9">+C32/C27</f>
        <v>0.82084509698134756</v>
      </c>
      <c r="D33" s="9">
        <f t="shared" si="9"/>
        <v>1.0399124635264694</v>
      </c>
      <c r="E33" s="9">
        <f t="shared" si="9"/>
        <v>0.68333246982021656</v>
      </c>
      <c r="F33" s="9">
        <f t="shared" si="9"/>
        <v>1.1895644627650919</v>
      </c>
      <c r="G33" s="9">
        <f t="shared" si="9"/>
        <v>0.72028123309897241</v>
      </c>
      <c r="H33" s="9">
        <f t="shared" si="9"/>
        <v>1.1981735207177306</v>
      </c>
      <c r="I33" s="9">
        <f t="shared" si="9"/>
        <v>0.86982192372979639</v>
      </c>
      <c r="J33" s="9">
        <f t="shared" si="9"/>
        <v>0.4931293246272293</v>
      </c>
    </row>
  </sheetData>
  <mergeCells count="1">
    <mergeCell ref="C4:E4"/>
  </mergeCells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zoomScale="85" zoomScaleNormal="85" workbookViewId="0">
      <pane xSplit="2" ySplit="2" topLeftCell="Z150" activePane="bottomRight" state="frozen"/>
      <selection pane="topRight" activeCell="C1" sqref="C1"/>
      <selection pane="bottomLeft" activeCell="A3" sqref="A3"/>
      <selection pane="bottomRight" activeCell="AM137" sqref="AM137"/>
    </sheetView>
  </sheetViews>
  <sheetFormatPr baseColWidth="10" defaultRowHeight="11.25" x14ac:dyDescent="0.25"/>
  <cols>
    <col min="1" max="2" width="11.42578125" style="71"/>
    <col min="3" max="3" width="88.140625" style="71" customWidth="1"/>
    <col min="4" max="4" width="16" style="71" customWidth="1"/>
    <col min="5" max="5" width="15.28515625" style="71" customWidth="1"/>
    <col min="6" max="6" width="16" style="71" customWidth="1"/>
    <col min="7" max="7" width="14.140625" style="71" customWidth="1"/>
    <col min="8" max="8" width="12.85546875" style="71" customWidth="1"/>
    <col min="9" max="9" width="12.42578125" style="71" customWidth="1"/>
    <col min="10" max="10" width="14" style="71" customWidth="1"/>
    <col min="11" max="11" width="11.85546875" style="71" customWidth="1"/>
    <col min="12" max="14" width="15" style="71" customWidth="1"/>
    <col min="15" max="15" width="14.7109375" style="71" customWidth="1"/>
    <col min="16" max="16" width="16.140625" style="71" customWidth="1"/>
    <col min="17" max="17" width="11.5703125" style="71" bestFit="1" customWidth="1"/>
    <col min="18" max="18" width="13.7109375" style="71" customWidth="1"/>
    <col min="19" max="23" width="11.5703125" style="71" bestFit="1" customWidth="1"/>
    <col min="24" max="24" width="11.42578125" style="71" customWidth="1"/>
    <col min="25" max="27" width="11.5703125" style="71" bestFit="1" customWidth="1"/>
    <col min="28" max="28" width="12.5703125" style="71" bestFit="1" customWidth="1"/>
    <col min="29" max="29" width="11.7109375" style="71" bestFit="1" customWidth="1"/>
    <col min="30" max="30" width="11.42578125" style="71"/>
    <col min="31" max="31" width="11.7109375" style="71" bestFit="1" customWidth="1"/>
    <col min="32" max="16384" width="11.42578125" style="71"/>
  </cols>
  <sheetData>
    <row r="1" spans="1:40" x14ac:dyDescent="0.25">
      <c r="A1" s="462" t="s">
        <v>55</v>
      </c>
      <c r="B1" s="463"/>
      <c r="C1" s="463"/>
      <c r="D1" s="463"/>
      <c r="E1" s="463"/>
      <c r="F1" s="463"/>
      <c r="G1" s="463"/>
      <c r="H1" s="463"/>
      <c r="I1" s="463"/>
    </row>
    <row r="2" spans="1:40" ht="12" thickBot="1" x14ac:dyDescent="0.3">
      <c r="A2" s="464"/>
      <c r="B2" s="465"/>
      <c r="C2" s="465"/>
      <c r="D2" s="465"/>
      <c r="E2" s="465"/>
      <c r="F2" s="465"/>
      <c r="G2" s="465"/>
      <c r="H2" s="465"/>
      <c r="I2" s="465"/>
    </row>
    <row r="3" spans="1:40" x14ac:dyDescent="0.25">
      <c r="A3" s="72"/>
      <c r="B3" s="72"/>
      <c r="C3" s="73"/>
      <c r="D3" s="74"/>
      <c r="E3" s="74"/>
      <c r="F3" s="74"/>
      <c r="G3" s="74"/>
      <c r="H3" s="74"/>
      <c r="I3" s="74"/>
    </row>
    <row r="4" spans="1:40" x14ac:dyDescent="0.25">
      <c r="A4" s="72"/>
      <c r="B4" s="72"/>
      <c r="C4" s="73"/>
      <c r="D4" s="74"/>
      <c r="E4" s="74"/>
      <c r="F4" s="74"/>
      <c r="G4" s="74"/>
      <c r="H4" s="74"/>
      <c r="I4" s="74"/>
    </row>
    <row r="5" spans="1:40" x14ac:dyDescent="0.25">
      <c r="A5" s="466" t="s">
        <v>56</v>
      </c>
      <c r="B5" s="75">
        <v>1</v>
      </c>
      <c r="C5" s="76" t="s">
        <v>57</v>
      </c>
      <c r="D5" s="454" t="s">
        <v>58</v>
      </c>
      <c r="E5" s="454"/>
      <c r="F5" s="454"/>
      <c r="G5" s="454"/>
      <c r="H5" s="454"/>
      <c r="I5" s="454"/>
    </row>
    <row r="6" spans="1:40" x14ac:dyDescent="0.25">
      <c r="A6" s="466"/>
      <c r="B6" s="75">
        <v>2</v>
      </c>
      <c r="C6" s="76" t="s">
        <v>59</v>
      </c>
      <c r="D6" s="454" t="s">
        <v>60</v>
      </c>
      <c r="E6" s="454"/>
      <c r="F6" s="454"/>
      <c r="G6" s="454"/>
      <c r="H6" s="454"/>
      <c r="I6" s="454"/>
    </row>
    <row r="7" spans="1:40" x14ac:dyDescent="0.25">
      <c r="A7" s="466"/>
      <c r="B7" s="75">
        <v>3</v>
      </c>
      <c r="C7" s="76" t="s">
        <v>61</v>
      </c>
      <c r="D7" s="454" t="s">
        <v>300</v>
      </c>
      <c r="E7" s="454"/>
      <c r="F7" s="454"/>
      <c r="G7" s="454"/>
      <c r="H7" s="454"/>
      <c r="I7" s="454"/>
    </row>
    <row r="8" spans="1:40" x14ac:dyDescent="0.25">
      <c r="A8" s="466"/>
      <c r="B8" s="75">
        <v>4</v>
      </c>
      <c r="C8" s="76" t="s">
        <v>62</v>
      </c>
      <c r="D8" s="454" t="s">
        <v>63</v>
      </c>
      <c r="E8" s="454"/>
      <c r="F8" s="454"/>
      <c r="G8" s="454"/>
      <c r="H8" s="454"/>
      <c r="I8" s="454"/>
    </row>
    <row r="9" spans="1:40" x14ac:dyDescent="0.25">
      <c r="A9" s="466"/>
      <c r="B9" s="75">
        <v>5</v>
      </c>
      <c r="C9" s="76" t="s">
        <v>64</v>
      </c>
      <c r="D9" s="454" t="s">
        <v>65</v>
      </c>
      <c r="E9" s="454"/>
      <c r="F9" s="454"/>
      <c r="G9" s="454"/>
      <c r="H9" s="454"/>
      <c r="I9" s="454"/>
    </row>
    <row r="10" spans="1:40" x14ac:dyDescent="0.25">
      <c r="A10" s="466"/>
      <c r="B10" s="75">
        <v>6</v>
      </c>
      <c r="C10" s="76" t="s">
        <v>66</v>
      </c>
      <c r="D10" s="454" t="s">
        <v>67</v>
      </c>
      <c r="E10" s="454"/>
      <c r="F10" s="454"/>
      <c r="G10" s="454"/>
      <c r="H10" s="454"/>
      <c r="I10" s="454"/>
    </row>
    <row r="11" spans="1:40" x14ac:dyDescent="0.25">
      <c r="A11" s="466"/>
      <c r="B11" s="75">
        <v>7</v>
      </c>
      <c r="C11" s="76" t="s">
        <v>68</v>
      </c>
      <c r="D11" s="454" t="s">
        <v>69</v>
      </c>
      <c r="E11" s="454"/>
      <c r="F11" s="454"/>
      <c r="G11" s="454"/>
      <c r="H11" s="454"/>
      <c r="I11" s="454"/>
    </row>
    <row r="12" spans="1:40" x14ac:dyDescent="0.25">
      <c r="A12" s="466"/>
      <c r="B12" s="75">
        <v>8</v>
      </c>
      <c r="C12" s="76" t="s">
        <v>70</v>
      </c>
      <c r="D12" s="454" t="s">
        <v>71</v>
      </c>
      <c r="E12" s="454"/>
      <c r="F12" s="454"/>
      <c r="G12" s="454"/>
      <c r="H12" s="454"/>
      <c r="I12" s="454"/>
    </row>
    <row r="13" spans="1:40" x14ac:dyDescent="0.25">
      <c r="A13" s="466"/>
      <c r="B13" s="75">
        <v>9</v>
      </c>
      <c r="C13" s="76" t="s">
        <v>72</v>
      </c>
      <c r="D13" s="452" t="s">
        <v>73</v>
      </c>
      <c r="E13" s="453"/>
      <c r="F13" s="453"/>
      <c r="G13" s="453"/>
      <c r="H13" s="453"/>
      <c r="I13" s="453"/>
    </row>
    <row r="14" spans="1:40" x14ac:dyDescent="0.25">
      <c r="A14" s="466"/>
      <c r="B14" s="75">
        <v>10</v>
      </c>
      <c r="C14" s="76" t="s">
        <v>74</v>
      </c>
      <c r="D14" s="454" t="s">
        <v>75</v>
      </c>
      <c r="E14" s="454"/>
      <c r="F14" s="454"/>
      <c r="G14" s="454"/>
      <c r="H14" s="454"/>
      <c r="I14" s="454"/>
      <c r="T14" s="461" t="s">
        <v>323</v>
      </c>
      <c r="U14" s="461"/>
      <c r="V14" s="461"/>
      <c r="W14" s="461"/>
    </row>
    <row r="15" spans="1:40" x14ac:dyDescent="0.25">
      <c r="A15" s="77"/>
      <c r="B15" s="78"/>
      <c r="C15" s="79"/>
      <c r="D15" s="80"/>
      <c r="E15" s="80"/>
      <c r="F15" s="80"/>
      <c r="G15" s="80"/>
      <c r="H15" s="80"/>
      <c r="I15" s="80"/>
    </row>
    <row r="16" spans="1:40" x14ac:dyDescent="0.25">
      <c r="A16" s="81"/>
      <c r="B16" s="82"/>
      <c r="C16" s="83"/>
      <c r="D16" s="84" t="s">
        <v>76</v>
      </c>
      <c r="E16" s="84" t="s">
        <v>6</v>
      </c>
      <c r="F16" s="84" t="s">
        <v>7</v>
      </c>
      <c r="G16" s="84" t="s">
        <v>8</v>
      </c>
      <c r="H16" s="84" t="s">
        <v>9</v>
      </c>
      <c r="I16" s="84" t="s">
        <v>10</v>
      </c>
      <c r="J16" s="126" t="s">
        <v>11</v>
      </c>
      <c r="K16" s="98" t="s">
        <v>271</v>
      </c>
      <c r="L16" s="98" t="s">
        <v>13</v>
      </c>
      <c r="M16" s="98" t="s">
        <v>14</v>
      </c>
      <c r="N16" s="98" t="s">
        <v>15</v>
      </c>
      <c r="P16" s="156" t="s">
        <v>4</v>
      </c>
      <c r="Q16" s="156" t="s">
        <v>5</v>
      </c>
      <c r="R16" s="156" t="s">
        <v>6</v>
      </c>
      <c r="S16" s="156" t="s">
        <v>7</v>
      </c>
      <c r="T16" s="156" t="s">
        <v>8</v>
      </c>
      <c r="U16" s="156" t="s">
        <v>9</v>
      </c>
      <c r="V16" s="273" t="s">
        <v>10</v>
      </c>
      <c r="W16" s="273" t="s">
        <v>11</v>
      </c>
      <c r="X16" s="273" t="s">
        <v>12</v>
      </c>
      <c r="Y16" s="273" t="s">
        <v>13</v>
      </c>
      <c r="Z16" s="273" t="s">
        <v>14</v>
      </c>
      <c r="AA16" s="273" t="s">
        <v>15</v>
      </c>
      <c r="AC16" s="156" t="s">
        <v>4</v>
      </c>
      <c r="AD16" s="156" t="s">
        <v>5</v>
      </c>
      <c r="AE16" s="156" t="s">
        <v>6</v>
      </c>
      <c r="AF16" s="156" t="s">
        <v>7</v>
      </c>
      <c r="AG16" s="156" t="s">
        <v>8</v>
      </c>
      <c r="AH16" s="156" t="s">
        <v>9</v>
      </c>
      <c r="AI16" s="273" t="s">
        <v>10</v>
      </c>
      <c r="AJ16" s="273" t="s">
        <v>11</v>
      </c>
      <c r="AK16" s="273" t="s">
        <v>12</v>
      </c>
      <c r="AL16" s="273" t="s">
        <v>13</v>
      </c>
      <c r="AM16" s="273" t="s">
        <v>14</v>
      </c>
      <c r="AN16" s="273" t="s">
        <v>15</v>
      </c>
    </row>
    <row r="17" spans="1:40" x14ac:dyDescent="0.2">
      <c r="A17" s="455" t="s">
        <v>77</v>
      </c>
      <c r="B17" s="75">
        <v>1</v>
      </c>
      <c r="C17" s="76" t="s">
        <v>78</v>
      </c>
      <c r="D17" s="89">
        <v>1825139</v>
      </c>
      <c r="E17" s="89">
        <v>1322285</v>
      </c>
      <c r="F17" s="89">
        <v>157446.73000000001</v>
      </c>
      <c r="G17" s="127">
        <v>157446.73000000001</v>
      </c>
      <c r="H17" s="88" t="s">
        <v>241</v>
      </c>
      <c r="I17" s="128" t="s">
        <v>241</v>
      </c>
      <c r="J17" s="129" t="s">
        <v>267</v>
      </c>
      <c r="K17" s="89" t="s">
        <v>267</v>
      </c>
      <c r="L17" s="130" t="s">
        <v>267</v>
      </c>
      <c r="M17" s="131" t="s">
        <v>267</v>
      </c>
      <c r="N17" s="125" t="s">
        <v>267</v>
      </c>
      <c r="P17" s="157" t="s">
        <v>267</v>
      </c>
      <c r="Q17" s="157" t="s">
        <v>267</v>
      </c>
      <c r="R17" s="157" t="s">
        <v>267</v>
      </c>
      <c r="S17" s="157" t="s">
        <v>267</v>
      </c>
      <c r="T17" s="157" t="s">
        <v>267</v>
      </c>
      <c r="U17" s="158" t="s">
        <v>267</v>
      </c>
      <c r="V17" s="31" t="s">
        <v>267</v>
      </c>
      <c r="W17" s="274" t="s">
        <v>267</v>
      </c>
      <c r="X17" s="273" t="s">
        <v>267</v>
      </c>
      <c r="Y17" s="273">
        <v>1889.3610000000001</v>
      </c>
      <c r="Z17" s="275" t="s">
        <v>267</v>
      </c>
      <c r="AA17" s="275" t="s">
        <v>267</v>
      </c>
      <c r="AC17" s="157" t="s">
        <v>267</v>
      </c>
      <c r="AD17" s="157" t="s">
        <v>267</v>
      </c>
      <c r="AE17" s="157" t="s">
        <v>267</v>
      </c>
      <c r="AF17" s="157">
        <v>1889.3610000000001</v>
      </c>
      <c r="AG17" s="157">
        <v>1889.3610000000001</v>
      </c>
      <c r="AH17" s="158">
        <v>1889.3610000000001</v>
      </c>
      <c r="AI17" s="31">
        <v>1889.3610000000001</v>
      </c>
      <c r="AJ17" s="274">
        <v>1889.3610000000001</v>
      </c>
      <c r="AK17" s="276">
        <v>1889361</v>
      </c>
      <c r="AL17" s="274">
        <v>1889361</v>
      </c>
      <c r="AM17" s="274">
        <v>1889361</v>
      </c>
      <c r="AN17" s="275"/>
    </row>
    <row r="18" spans="1:40" x14ac:dyDescent="0.2">
      <c r="A18" s="456"/>
      <c r="B18" s="75">
        <v>2</v>
      </c>
      <c r="C18" s="87" t="s">
        <v>79</v>
      </c>
      <c r="D18" s="89">
        <v>7</v>
      </c>
      <c r="E18" s="89">
        <v>7</v>
      </c>
      <c r="F18" s="89">
        <v>7</v>
      </c>
      <c r="G18" s="89">
        <v>7</v>
      </c>
      <c r="H18" s="88">
        <v>7</v>
      </c>
      <c r="I18" s="128">
        <v>7</v>
      </c>
      <c r="J18" s="129">
        <v>7</v>
      </c>
      <c r="K18" s="89">
        <v>7</v>
      </c>
      <c r="L18" s="130">
        <v>7</v>
      </c>
      <c r="M18" s="132">
        <v>7</v>
      </c>
      <c r="N18" s="88">
        <v>7</v>
      </c>
      <c r="P18" s="159">
        <v>7</v>
      </c>
      <c r="Q18" s="159">
        <v>7</v>
      </c>
      <c r="R18" s="159">
        <v>7</v>
      </c>
      <c r="S18" s="159">
        <v>7</v>
      </c>
      <c r="T18" s="159">
        <v>7</v>
      </c>
      <c r="U18" s="158">
        <v>7</v>
      </c>
      <c r="V18" s="276">
        <v>7</v>
      </c>
      <c r="W18" s="274">
        <v>7</v>
      </c>
      <c r="X18" s="273">
        <v>7</v>
      </c>
      <c r="Y18" s="273">
        <v>7</v>
      </c>
      <c r="Z18" s="275">
        <v>7</v>
      </c>
      <c r="AA18" s="275">
        <v>7</v>
      </c>
      <c r="AC18" s="159">
        <v>7</v>
      </c>
      <c r="AD18" s="159">
        <v>7</v>
      </c>
      <c r="AE18" s="159">
        <v>7</v>
      </c>
      <c r="AF18" s="159">
        <v>7</v>
      </c>
      <c r="AG18" s="159">
        <v>7</v>
      </c>
      <c r="AH18" s="158">
        <v>7</v>
      </c>
      <c r="AI18" s="276">
        <v>7</v>
      </c>
      <c r="AJ18" s="274">
        <v>7</v>
      </c>
      <c r="AK18" s="276">
        <v>7</v>
      </c>
      <c r="AL18" s="274">
        <v>7</v>
      </c>
      <c r="AM18" s="274">
        <v>7</v>
      </c>
      <c r="AN18" s="275"/>
    </row>
    <row r="19" spans="1:40" x14ac:dyDescent="0.2">
      <c r="A19" s="456"/>
      <c r="B19" s="75">
        <v>3</v>
      </c>
      <c r="C19" s="76" t="s">
        <v>80</v>
      </c>
      <c r="D19" s="89">
        <v>7</v>
      </c>
      <c r="E19" s="89">
        <v>7</v>
      </c>
      <c r="F19" s="89">
        <v>7</v>
      </c>
      <c r="G19" s="89">
        <v>7</v>
      </c>
      <c r="H19" s="88">
        <v>7</v>
      </c>
      <c r="I19" s="128">
        <v>7</v>
      </c>
      <c r="J19" s="129">
        <v>7</v>
      </c>
      <c r="K19" s="89">
        <v>7</v>
      </c>
      <c r="L19" s="130">
        <v>7</v>
      </c>
      <c r="M19" s="132">
        <v>7</v>
      </c>
      <c r="N19" s="88">
        <v>7</v>
      </c>
      <c r="P19" s="159">
        <v>7</v>
      </c>
      <c r="Q19" s="159">
        <v>7</v>
      </c>
      <c r="R19" s="159">
        <v>7</v>
      </c>
      <c r="S19" s="159">
        <v>7</v>
      </c>
      <c r="T19" s="159">
        <v>7</v>
      </c>
      <c r="U19" s="158">
        <v>7</v>
      </c>
      <c r="V19" s="276">
        <v>7</v>
      </c>
      <c r="W19" s="274">
        <v>7</v>
      </c>
      <c r="X19" s="273">
        <v>7</v>
      </c>
      <c r="Y19" s="273">
        <v>7</v>
      </c>
      <c r="Z19" s="275">
        <v>7</v>
      </c>
      <c r="AA19" s="275">
        <v>7</v>
      </c>
      <c r="AC19" s="159">
        <v>7</v>
      </c>
      <c r="AD19" s="159">
        <v>7</v>
      </c>
      <c r="AE19" s="159">
        <v>7</v>
      </c>
      <c r="AF19" s="159">
        <v>7</v>
      </c>
      <c r="AG19" s="159">
        <v>7</v>
      </c>
      <c r="AH19" s="158">
        <v>7</v>
      </c>
      <c r="AI19" s="276">
        <v>7</v>
      </c>
      <c r="AJ19" s="274">
        <v>7</v>
      </c>
      <c r="AK19" s="276">
        <v>7</v>
      </c>
      <c r="AL19" s="274">
        <v>7</v>
      </c>
      <c r="AM19" s="274">
        <v>7</v>
      </c>
      <c r="AN19" s="275"/>
    </row>
    <row r="20" spans="1:40" x14ac:dyDescent="0.25">
      <c r="A20" s="456"/>
      <c r="B20" s="75">
        <v>4</v>
      </c>
      <c r="C20" s="76" t="s">
        <v>81</v>
      </c>
      <c r="D20" s="89">
        <v>177.36</v>
      </c>
      <c r="E20" s="89">
        <v>68.900000000000006</v>
      </c>
      <c r="F20" s="89">
        <v>73.34</v>
      </c>
      <c r="G20" s="89">
        <v>7352.9</v>
      </c>
      <c r="H20" s="88" t="s">
        <v>242</v>
      </c>
      <c r="I20" s="128" t="s">
        <v>242</v>
      </c>
      <c r="J20" s="128" t="s">
        <v>242</v>
      </c>
      <c r="K20" s="89">
        <v>75</v>
      </c>
      <c r="L20" s="88" t="s">
        <v>242</v>
      </c>
      <c r="M20" s="132" t="s">
        <v>242</v>
      </c>
      <c r="N20" s="88" t="s">
        <v>242</v>
      </c>
      <c r="P20" s="159" t="s">
        <v>281</v>
      </c>
      <c r="Q20" s="159" t="s">
        <v>281</v>
      </c>
      <c r="R20" s="159" t="s">
        <v>281</v>
      </c>
      <c r="S20" s="159" t="s">
        <v>281</v>
      </c>
      <c r="T20" s="159" t="s">
        <v>281</v>
      </c>
      <c r="U20" s="158" t="s">
        <v>281</v>
      </c>
      <c r="V20" s="276" t="s">
        <v>281</v>
      </c>
      <c r="W20" s="274" t="s">
        <v>281</v>
      </c>
      <c r="X20" s="273" t="s">
        <v>281</v>
      </c>
      <c r="Y20" s="273" t="s">
        <v>281</v>
      </c>
      <c r="Z20" s="275" t="s">
        <v>281</v>
      </c>
      <c r="AA20" s="275" t="s">
        <v>242</v>
      </c>
      <c r="AC20" s="159" t="s">
        <v>281</v>
      </c>
      <c r="AD20" s="159" t="s">
        <v>281</v>
      </c>
      <c r="AE20" s="159" t="s">
        <v>281</v>
      </c>
      <c r="AF20" s="159">
        <v>75</v>
      </c>
      <c r="AG20" s="159">
        <v>75</v>
      </c>
      <c r="AH20" s="158" t="s">
        <v>281</v>
      </c>
      <c r="AI20" s="276" t="s">
        <v>281</v>
      </c>
      <c r="AJ20" s="274">
        <v>75</v>
      </c>
      <c r="AK20" s="276">
        <v>75</v>
      </c>
      <c r="AL20" s="274" t="s">
        <v>281</v>
      </c>
      <c r="AM20" s="274" t="s">
        <v>281</v>
      </c>
      <c r="AN20" s="275"/>
    </row>
    <row r="21" spans="1:40" x14ac:dyDescent="0.25">
      <c r="A21" s="456"/>
      <c r="B21" s="75">
        <v>5</v>
      </c>
      <c r="C21" s="76" t="s">
        <v>82</v>
      </c>
      <c r="D21" s="133">
        <v>0</v>
      </c>
      <c r="E21" s="89">
        <v>0</v>
      </c>
      <c r="F21" s="89">
        <v>0</v>
      </c>
      <c r="G21" s="89">
        <v>0</v>
      </c>
      <c r="H21" s="88">
        <v>0</v>
      </c>
      <c r="I21" s="128">
        <v>0</v>
      </c>
      <c r="J21" s="128">
        <v>0</v>
      </c>
      <c r="K21" s="89">
        <v>0</v>
      </c>
      <c r="L21" s="88">
        <v>0</v>
      </c>
      <c r="M21" s="132">
        <v>0</v>
      </c>
      <c r="N21" s="88">
        <v>0</v>
      </c>
      <c r="P21" s="160">
        <v>0</v>
      </c>
      <c r="Q21" s="160">
        <v>0</v>
      </c>
      <c r="R21" s="159">
        <v>0</v>
      </c>
      <c r="S21" s="159">
        <v>0</v>
      </c>
      <c r="T21" s="159">
        <v>0</v>
      </c>
      <c r="U21" s="158">
        <v>0</v>
      </c>
      <c r="V21" s="276">
        <v>0</v>
      </c>
      <c r="W21" s="274">
        <v>0</v>
      </c>
      <c r="X21" s="273">
        <v>0</v>
      </c>
      <c r="Y21" s="273">
        <v>0</v>
      </c>
      <c r="Z21" s="275">
        <v>0</v>
      </c>
      <c r="AA21" s="275">
        <v>0</v>
      </c>
      <c r="AC21" s="160">
        <v>0</v>
      </c>
      <c r="AD21" s="160">
        <v>0</v>
      </c>
      <c r="AE21" s="159">
        <v>0</v>
      </c>
      <c r="AF21" s="159">
        <v>0</v>
      </c>
      <c r="AG21" s="159">
        <v>0</v>
      </c>
      <c r="AH21" s="158">
        <v>0</v>
      </c>
      <c r="AI21" s="276">
        <v>0</v>
      </c>
      <c r="AJ21" s="274">
        <v>0</v>
      </c>
      <c r="AK21" s="276">
        <v>0</v>
      </c>
      <c r="AL21" s="274">
        <v>0</v>
      </c>
      <c r="AM21" s="274">
        <v>0</v>
      </c>
      <c r="AN21" s="275"/>
    </row>
    <row r="22" spans="1:40" x14ac:dyDescent="0.25">
      <c r="A22" s="456"/>
      <c r="B22" s="75">
        <v>6</v>
      </c>
      <c r="C22" s="76" t="s">
        <v>83</v>
      </c>
      <c r="D22" s="89">
        <v>7</v>
      </c>
      <c r="E22" s="89">
        <v>7</v>
      </c>
      <c r="F22" s="89">
        <v>7</v>
      </c>
      <c r="G22" s="89">
        <v>7</v>
      </c>
      <c r="H22" s="88">
        <v>7</v>
      </c>
      <c r="I22" s="128">
        <v>7</v>
      </c>
      <c r="J22" s="128">
        <v>7</v>
      </c>
      <c r="K22" s="89">
        <v>7</v>
      </c>
      <c r="L22" s="88">
        <v>7</v>
      </c>
      <c r="M22" s="132">
        <v>7</v>
      </c>
      <c r="N22" s="88">
        <v>7</v>
      </c>
      <c r="P22" s="159">
        <v>7</v>
      </c>
      <c r="Q22" s="159">
        <v>7</v>
      </c>
      <c r="R22" s="159">
        <v>7</v>
      </c>
      <c r="S22" s="159">
        <v>7</v>
      </c>
      <c r="T22" s="159">
        <v>7</v>
      </c>
      <c r="U22" s="158">
        <v>7</v>
      </c>
      <c r="V22" s="276">
        <v>7</v>
      </c>
      <c r="W22" s="274">
        <v>7</v>
      </c>
      <c r="X22" s="273">
        <v>7</v>
      </c>
      <c r="Y22" s="273">
        <v>7</v>
      </c>
      <c r="Z22" s="275">
        <v>7</v>
      </c>
      <c r="AA22" s="275">
        <v>7</v>
      </c>
      <c r="AC22" s="159">
        <v>7</v>
      </c>
      <c r="AD22" s="159">
        <v>7</v>
      </c>
      <c r="AE22" s="159">
        <v>7</v>
      </c>
      <c r="AF22" s="159">
        <v>7</v>
      </c>
      <c r="AG22" s="159">
        <v>7</v>
      </c>
      <c r="AH22" s="158">
        <v>7</v>
      </c>
      <c r="AI22" s="276">
        <v>7</v>
      </c>
      <c r="AJ22" s="274">
        <v>7</v>
      </c>
      <c r="AK22" s="276">
        <v>7</v>
      </c>
      <c r="AL22" s="274">
        <v>7</v>
      </c>
      <c r="AM22" s="274">
        <v>7</v>
      </c>
      <c r="AN22" s="275"/>
    </row>
    <row r="23" spans="1:40" x14ac:dyDescent="0.25">
      <c r="A23" s="456"/>
      <c r="B23" s="75">
        <v>7</v>
      </c>
      <c r="C23" s="76" t="s">
        <v>84</v>
      </c>
      <c r="D23" s="89">
        <v>0</v>
      </c>
      <c r="E23" s="89">
        <v>0</v>
      </c>
      <c r="F23" s="89">
        <v>0</v>
      </c>
      <c r="G23" s="89">
        <v>0</v>
      </c>
      <c r="H23" s="88">
        <v>0</v>
      </c>
      <c r="I23" s="128">
        <v>0</v>
      </c>
      <c r="J23" s="128">
        <v>0</v>
      </c>
      <c r="K23" s="89">
        <v>0</v>
      </c>
      <c r="L23" s="88">
        <v>0</v>
      </c>
      <c r="M23" s="132">
        <v>0</v>
      </c>
      <c r="N23" s="88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8">
        <v>0</v>
      </c>
      <c r="V23" s="276">
        <v>0</v>
      </c>
      <c r="W23" s="274">
        <v>0</v>
      </c>
      <c r="X23" s="273">
        <v>0</v>
      </c>
      <c r="Y23" s="273">
        <v>0</v>
      </c>
      <c r="Z23" s="275">
        <v>0</v>
      </c>
      <c r="AA23" s="275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8">
        <v>0</v>
      </c>
      <c r="AI23" s="276">
        <v>0</v>
      </c>
      <c r="AJ23" s="274">
        <v>0</v>
      </c>
      <c r="AK23" s="276">
        <v>0</v>
      </c>
      <c r="AL23" s="274">
        <v>0</v>
      </c>
      <c r="AM23" s="274">
        <v>0</v>
      </c>
      <c r="AN23" s="275"/>
    </row>
    <row r="24" spans="1:40" x14ac:dyDescent="0.25">
      <c r="A24" s="456"/>
      <c r="B24" s="75">
        <v>8</v>
      </c>
      <c r="C24" s="76" t="s">
        <v>85</v>
      </c>
      <c r="D24" s="89">
        <v>5</v>
      </c>
      <c r="E24" s="89">
        <v>5</v>
      </c>
      <c r="F24" s="89">
        <v>5</v>
      </c>
      <c r="G24" s="89">
        <v>5</v>
      </c>
      <c r="H24" s="88">
        <v>5</v>
      </c>
      <c r="I24" s="128">
        <v>5</v>
      </c>
      <c r="J24" s="128">
        <v>5</v>
      </c>
      <c r="K24" s="89">
        <v>5</v>
      </c>
      <c r="L24" s="88">
        <v>5</v>
      </c>
      <c r="M24" s="132">
        <v>5</v>
      </c>
      <c r="N24" s="88">
        <v>5</v>
      </c>
      <c r="P24" s="159">
        <v>5</v>
      </c>
      <c r="Q24" s="159">
        <v>5</v>
      </c>
      <c r="R24" s="159">
        <v>5</v>
      </c>
      <c r="S24" s="159">
        <v>6</v>
      </c>
      <c r="T24" s="159">
        <v>6</v>
      </c>
      <c r="U24" s="158">
        <v>6</v>
      </c>
      <c r="V24" s="276">
        <v>6</v>
      </c>
      <c r="W24" s="274">
        <v>6</v>
      </c>
      <c r="X24" s="273">
        <v>6</v>
      </c>
      <c r="Y24" s="273">
        <v>6</v>
      </c>
      <c r="Z24" s="275">
        <v>6</v>
      </c>
      <c r="AA24" s="275">
        <v>6</v>
      </c>
      <c r="AC24" s="159">
        <v>6</v>
      </c>
      <c r="AD24" s="159">
        <v>6</v>
      </c>
      <c r="AE24" s="159">
        <v>6</v>
      </c>
      <c r="AF24" s="159">
        <v>6</v>
      </c>
      <c r="AG24" s="159">
        <v>6</v>
      </c>
      <c r="AH24" s="158">
        <v>6</v>
      </c>
      <c r="AI24" s="276">
        <v>6</v>
      </c>
      <c r="AJ24" s="274">
        <v>6</v>
      </c>
      <c r="AK24" s="276">
        <v>6</v>
      </c>
      <c r="AL24" s="274">
        <v>6</v>
      </c>
      <c r="AM24" s="274">
        <v>6</v>
      </c>
      <c r="AN24" s="275"/>
    </row>
    <row r="25" spans="1:40" x14ac:dyDescent="0.25">
      <c r="A25" s="456"/>
      <c r="B25" s="75">
        <v>9</v>
      </c>
      <c r="C25" s="76" t="s">
        <v>86</v>
      </c>
      <c r="D25" s="89">
        <v>5</v>
      </c>
      <c r="E25" s="89">
        <v>5</v>
      </c>
      <c r="F25" s="89">
        <v>5</v>
      </c>
      <c r="G25" s="89">
        <v>5</v>
      </c>
      <c r="H25" s="88">
        <v>5</v>
      </c>
      <c r="I25" s="128">
        <v>5</v>
      </c>
      <c r="J25" s="128">
        <v>5</v>
      </c>
      <c r="K25" s="89">
        <v>5</v>
      </c>
      <c r="L25" s="88">
        <v>5</v>
      </c>
      <c r="M25" s="132">
        <v>5</v>
      </c>
      <c r="N25" s="88">
        <v>5</v>
      </c>
      <c r="P25" s="159">
        <v>5</v>
      </c>
      <c r="Q25" s="159">
        <v>5</v>
      </c>
      <c r="R25" s="159">
        <v>5</v>
      </c>
      <c r="S25" s="159">
        <v>6</v>
      </c>
      <c r="T25" s="159">
        <v>6</v>
      </c>
      <c r="U25" s="158">
        <v>6</v>
      </c>
      <c r="V25" s="276">
        <v>6</v>
      </c>
      <c r="W25" s="274">
        <v>6</v>
      </c>
      <c r="X25" s="273">
        <v>6</v>
      </c>
      <c r="Y25" s="273">
        <v>6</v>
      </c>
      <c r="Z25" s="275">
        <v>6</v>
      </c>
      <c r="AA25" s="275">
        <v>6</v>
      </c>
      <c r="AC25" s="159">
        <v>6</v>
      </c>
      <c r="AD25" s="159">
        <v>6</v>
      </c>
      <c r="AE25" s="159">
        <v>6</v>
      </c>
      <c r="AF25" s="159">
        <v>6</v>
      </c>
      <c r="AG25" s="159">
        <v>6</v>
      </c>
      <c r="AH25" s="158">
        <v>6</v>
      </c>
      <c r="AI25" s="276">
        <v>6</v>
      </c>
      <c r="AJ25" s="274">
        <v>6</v>
      </c>
      <c r="AK25" s="276">
        <v>6</v>
      </c>
      <c r="AL25" s="274">
        <v>6</v>
      </c>
      <c r="AM25" s="274">
        <v>6</v>
      </c>
      <c r="AN25" s="275"/>
    </row>
    <row r="26" spans="1:40" x14ac:dyDescent="0.25">
      <c r="A26" s="456"/>
      <c r="B26" s="75">
        <v>10</v>
      </c>
      <c r="C26" s="76" t="s">
        <v>87</v>
      </c>
      <c r="D26" s="89">
        <v>155067</v>
      </c>
      <c r="E26" s="89">
        <v>80918</v>
      </c>
      <c r="F26" s="89">
        <v>84832</v>
      </c>
      <c r="G26" s="89">
        <v>91286</v>
      </c>
      <c r="H26" s="88">
        <v>90.096999999999994</v>
      </c>
      <c r="I26" s="128">
        <v>81551</v>
      </c>
      <c r="J26" s="128">
        <v>83942</v>
      </c>
      <c r="K26" s="89">
        <v>70392</v>
      </c>
      <c r="L26" s="88">
        <v>70531</v>
      </c>
      <c r="M26" s="132">
        <v>76.658000000000001</v>
      </c>
      <c r="N26" s="88">
        <v>78.885000000000005</v>
      </c>
      <c r="P26" s="159">
        <v>77743</v>
      </c>
      <c r="Q26" s="159">
        <v>70100</v>
      </c>
      <c r="R26" s="159">
        <v>90070</v>
      </c>
      <c r="S26" s="159">
        <v>90289</v>
      </c>
      <c r="T26" s="159">
        <v>86844</v>
      </c>
      <c r="U26" s="158">
        <v>71154</v>
      </c>
      <c r="V26" s="276">
        <v>77329</v>
      </c>
      <c r="W26" s="274">
        <v>78252</v>
      </c>
      <c r="X26" s="273">
        <v>65753</v>
      </c>
      <c r="Y26" s="273">
        <v>70738</v>
      </c>
      <c r="Z26" s="275">
        <v>69576</v>
      </c>
      <c r="AA26" s="275">
        <v>73040</v>
      </c>
      <c r="AC26" s="159">
        <v>76628</v>
      </c>
      <c r="AD26" s="159">
        <v>73620</v>
      </c>
      <c r="AE26" s="159">
        <v>93473</v>
      </c>
      <c r="AF26" s="159">
        <v>94732</v>
      </c>
      <c r="AG26" s="159">
        <v>104655</v>
      </c>
      <c r="AH26" s="158">
        <v>89074</v>
      </c>
      <c r="AI26" s="276">
        <v>87494</v>
      </c>
      <c r="AJ26" s="274">
        <v>88801</v>
      </c>
      <c r="AK26" s="276">
        <v>87297</v>
      </c>
      <c r="AL26" s="274">
        <v>85924</v>
      </c>
      <c r="AM26" s="274">
        <v>82233</v>
      </c>
      <c r="AN26" s="275"/>
    </row>
    <row r="27" spans="1:40" x14ac:dyDescent="0.25">
      <c r="A27" s="456"/>
      <c r="B27" s="75">
        <v>11</v>
      </c>
      <c r="C27" s="76" t="s">
        <v>88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128">
        <v>0</v>
      </c>
      <c r="J27" s="128">
        <v>0</v>
      </c>
      <c r="K27" s="89">
        <v>0</v>
      </c>
      <c r="L27" s="88">
        <v>0</v>
      </c>
      <c r="M27" s="132">
        <v>0</v>
      </c>
      <c r="N27" s="88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8">
        <v>0</v>
      </c>
      <c r="V27" s="276">
        <v>0</v>
      </c>
      <c r="W27" s="274">
        <v>0</v>
      </c>
      <c r="X27" s="273">
        <v>0</v>
      </c>
      <c r="Y27" s="273">
        <v>0</v>
      </c>
      <c r="Z27" s="275">
        <v>0</v>
      </c>
      <c r="AA27" s="275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8">
        <v>0</v>
      </c>
      <c r="AI27" s="276">
        <v>0</v>
      </c>
      <c r="AJ27" s="274">
        <v>0</v>
      </c>
      <c r="AK27" s="276">
        <v>0</v>
      </c>
      <c r="AL27" s="274">
        <v>0</v>
      </c>
      <c r="AM27" s="274">
        <v>0</v>
      </c>
      <c r="AN27" s="275"/>
    </row>
    <row r="28" spans="1:40" x14ac:dyDescent="0.25">
      <c r="A28" s="456"/>
      <c r="B28" s="75">
        <v>12</v>
      </c>
      <c r="C28" s="76" t="s">
        <v>89</v>
      </c>
      <c r="D28" s="89">
        <v>155067</v>
      </c>
      <c r="E28" s="89">
        <v>80918</v>
      </c>
      <c r="F28" s="89">
        <v>84832</v>
      </c>
      <c r="G28" s="89">
        <v>91286</v>
      </c>
      <c r="H28" s="89">
        <v>90.096999999999994</v>
      </c>
      <c r="I28" s="128">
        <v>81.551000000000002</v>
      </c>
      <c r="J28" s="128">
        <v>83.941999999999993</v>
      </c>
      <c r="K28" s="89">
        <v>70.391999999999996</v>
      </c>
      <c r="L28" s="88">
        <v>70.531000000000006</v>
      </c>
      <c r="M28" s="132">
        <v>76.658000000000001</v>
      </c>
      <c r="N28" s="88">
        <v>78.885000000000005</v>
      </c>
      <c r="P28" s="159">
        <v>77743</v>
      </c>
      <c r="Q28" s="159">
        <v>70100</v>
      </c>
      <c r="R28" s="159">
        <v>90070</v>
      </c>
      <c r="S28" s="159">
        <v>90289</v>
      </c>
      <c r="T28" s="159">
        <v>86844</v>
      </c>
      <c r="U28" s="158">
        <v>71154</v>
      </c>
      <c r="V28" s="276">
        <v>77329</v>
      </c>
      <c r="W28" s="274">
        <v>78252</v>
      </c>
      <c r="X28" s="273">
        <v>65753</v>
      </c>
      <c r="Y28" s="273">
        <v>70738</v>
      </c>
      <c r="Z28" s="275">
        <v>69576</v>
      </c>
      <c r="AA28" s="275">
        <v>73040</v>
      </c>
      <c r="AC28" s="159">
        <v>76628</v>
      </c>
      <c r="AD28" s="159">
        <v>73620</v>
      </c>
      <c r="AE28" s="159">
        <v>93473</v>
      </c>
      <c r="AF28" s="159">
        <v>94732</v>
      </c>
      <c r="AG28" s="159">
        <v>104655</v>
      </c>
      <c r="AH28" s="158">
        <v>89074</v>
      </c>
      <c r="AI28" s="276">
        <v>87494</v>
      </c>
      <c r="AJ28" s="274">
        <v>88801</v>
      </c>
      <c r="AK28" s="276">
        <v>87297</v>
      </c>
      <c r="AL28" s="274">
        <v>85924</v>
      </c>
      <c r="AM28" s="274">
        <v>82233</v>
      </c>
      <c r="AN28" s="275"/>
    </row>
    <row r="29" spans="1:40" x14ac:dyDescent="0.2">
      <c r="A29" s="456"/>
      <c r="B29" s="75">
        <v>13</v>
      </c>
      <c r="C29" s="76" t="s">
        <v>90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129">
        <v>0</v>
      </c>
      <c r="J29" s="126">
        <v>0</v>
      </c>
      <c r="K29" s="89">
        <v>0</v>
      </c>
      <c r="L29" s="88">
        <v>0</v>
      </c>
      <c r="M29" s="132">
        <v>0</v>
      </c>
      <c r="N29" s="88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8">
        <v>0</v>
      </c>
      <c r="V29" s="31">
        <v>0</v>
      </c>
      <c r="W29" s="274">
        <v>0</v>
      </c>
      <c r="X29" s="273">
        <v>0</v>
      </c>
      <c r="Y29" s="273">
        <v>0</v>
      </c>
      <c r="Z29" s="275">
        <v>0</v>
      </c>
      <c r="AA29" s="275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8">
        <v>0</v>
      </c>
      <c r="AI29" s="31">
        <v>0</v>
      </c>
      <c r="AJ29" s="274">
        <v>0</v>
      </c>
      <c r="AK29" s="276">
        <v>0</v>
      </c>
      <c r="AL29" s="274">
        <v>0</v>
      </c>
      <c r="AM29" s="274">
        <v>0</v>
      </c>
      <c r="AN29" s="275"/>
    </row>
    <row r="30" spans="1:40" ht="12.75" x14ac:dyDescent="0.25">
      <c r="A30" s="456"/>
      <c r="B30" s="75">
        <v>14</v>
      </c>
      <c r="C30" s="76" t="s">
        <v>91</v>
      </c>
      <c r="D30" s="89">
        <v>144</v>
      </c>
      <c r="E30" s="89">
        <v>144</v>
      </c>
      <c r="F30" s="89">
        <v>749.1</v>
      </c>
      <c r="G30" s="134">
        <v>893.8</v>
      </c>
      <c r="H30" s="89" t="s">
        <v>245</v>
      </c>
      <c r="I30" s="128" t="s">
        <v>295</v>
      </c>
      <c r="J30" s="128" t="s">
        <v>268</v>
      </c>
      <c r="K30" s="89" t="s">
        <v>268</v>
      </c>
      <c r="L30" s="88" t="s">
        <v>268</v>
      </c>
      <c r="M30" s="132" t="s">
        <v>268</v>
      </c>
      <c r="N30" s="88" t="s">
        <v>268</v>
      </c>
      <c r="P30" s="159">
        <v>146.6</v>
      </c>
      <c r="Q30" s="159">
        <v>146.6</v>
      </c>
      <c r="R30" s="159">
        <v>146.6</v>
      </c>
      <c r="S30" s="159">
        <v>146.6</v>
      </c>
      <c r="T30" s="159">
        <v>142.02000000000001</v>
      </c>
      <c r="U30" s="158">
        <v>146.68</v>
      </c>
      <c r="V30" s="276">
        <v>146.68</v>
      </c>
      <c r="W30" s="274">
        <v>146.68</v>
      </c>
      <c r="X30" s="273">
        <v>146.68</v>
      </c>
      <c r="Y30" s="273">
        <v>146.68</v>
      </c>
      <c r="Z30" s="275">
        <v>146.68</v>
      </c>
      <c r="AA30" s="275">
        <v>146.96</v>
      </c>
      <c r="AC30" s="159">
        <v>146.96</v>
      </c>
      <c r="AD30" s="159">
        <v>146.96</v>
      </c>
      <c r="AE30" s="159">
        <v>146.96</v>
      </c>
      <c r="AF30" s="159">
        <v>146.96</v>
      </c>
      <c r="AG30" s="159">
        <v>146.96</v>
      </c>
      <c r="AH30" s="158">
        <v>146.96</v>
      </c>
      <c r="AI30" s="276">
        <v>146.96</v>
      </c>
      <c r="AJ30" s="274">
        <v>146.96</v>
      </c>
      <c r="AK30" s="276">
        <v>147.11000000000001</v>
      </c>
      <c r="AL30" s="274">
        <v>147.11000000000001</v>
      </c>
      <c r="AM30" s="274">
        <v>147.11000000000001</v>
      </c>
      <c r="AN30" s="275"/>
    </row>
    <row r="31" spans="1:40" ht="12.75" x14ac:dyDescent="0.25">
      <c r="A31" s="456"/>
      <c r="B31" s="75">
        <v>15</v>
      </c>
      <c r="C31" s="76" t="s">
        <v>92</v>
      </c>
      <c r="D31" s="89">
        <v>176</v>
      </c>
      <c r="E31" s="89">
        <v>176</v>
      </c>
      <c r="F31" s="89">
        <v>763</v>
      </c>
      <c r="G31" s="89">
        <v>939.5</v>
      </c>
      <c r="H31" s="89" t="s">
        <v>246</v>
      </c>
      <c r="I31" s="128" t="s">
        <v>296</v>
      </c>
      <c r="J31" s="128" t="s">
        <v>269</v>
      </c>
      <c r="K31" s="89" t="s">
        <v>272</v>
      </c>
      <c r="L31" s="88" t="s">
        <v>272</v>
      </c>
      <c r="M31" s="132" t="s">
        <v>272</v>
      </c>
      <c r="N31" s="88" t="s">
        <v>272</v>
      </c>
      <c r="P31" s="159">
        <v>151.6</v>
      </c>
      <c r="Q31" s="159">
        <v>151.6</v>
      </c>
      <c r="R31" s="159">
        <v>151.6</v>
      </c>
      <c r="S31" s="159">
        <v>151.6</v>
      </c>
      <c r="T31" s="159">
        <v>160.69999999999999</v>
      </c>
      <c r="U31" s="158">
        <v>161.02000000000001</v>
      </c>
      <c r="V31" s="276">
        <v>161.02000000000001</v>
      </c>
      <c r="W31" s="274">
        <v>161.02000000000001</v>
      </c>
      <c r="X31" s="273">
        <v>161.02000000000001</v>
      </c>
      <c r="Y31" s="273">
        <v>161.02000000000001</v>
      </c>
      <c r="Z31" s="275">
        <v>161.02000000000001</v>
      </c>
      <c r="AA31" s="275">
        <v>153.37</v>
      </c>
      <c r="AC31" s="159">
        <v>153.37</v>
      </c>
      <c r="AD31" s="159">
        <v>153.37</v>
      </c>
      <c r="AE31" s="159">
        <v>153.37</v>
      </c>
      <c r="AF31" s="159">
        <v>153.37</v>
      </c>
      <c r="AG31" s="159">
        <v>153.37</v>
      </c>
      <c r="AH31" s="158">
        <v>153.37</v>
      </c>
      <c r="AI31" s="276">
        <v>153.37</v>
      </c>
      <c r="AJ31" s="274">
        <v>153.37</v>
      </c>
      <c r="AK31" s="276">
        <v>157</v>
      </c>
      <c r="AL31" s="274">
        <v>157</v>
      </c>
      <c r="AM31" s="274">
        <v>157</v>
      </c>
      <c r="AN31" s="275"/>
    </row>
    <row r="32" spans="1:40" ht="12.75" x14ac:dyDescent="0.25">
      <c r="A32" s="456"/>
      <c r="B32" s="75">
        <v>16</v>
      </c>
      <c r="C32" s="76" t="s">
        <v>93</v>
      </c>
      <c r="D32" s="89" t="s">
        <v>94</v>
      </c>
      <c r="E32" s="89" t="s">
        <v>94</v>
      </c>
      <c r="F32" s="89" t="s">
        <v>94</v>
      </c>
      <c r="G32" s="89" t="s">
        <v>94</v>
      </c>
      <c r="H32" s="89" t="s">
        <v>247</v>
      </c>
      <c r="I32" s="128" t="s">
        <v>297</v>
      </c>
      <c r="J32" s="128" t="s">
        <v>298</v>
      </c>
      <c r="K32" s="89" t="s">
        <v>273</v>
      </c>
      <c r="L32" s="88" t="s">
        <v>298</v>
      </c>
      <c r="M32" s="132" t="s">
        <v>299</v>
      </c>
      <c r="N32" s="88" t="s">
        <v>298</v>
      </c>
      <c r="P32" s="159">
        <v>965</v>
      </c>
      <c r="Q32" s="159">
        <v>965</v>
      </c>
      <c r="R32" s="159">
        <v>965</v>
      </c>
      <c r="S32" s="159">
        <v>965</v>
      </c>
      <c r="T32" s="159">
        <v>965</v>
      </c>
      <c r="U32" s="158">
        <v>965</v>
      </c>
      <c r="V32" s="276">
        <v>965</v>
      </c>
      <c r="W32" s="274">
        <v>965</v>
      </c>
      <c r="X32" s="273">
        <v>965</v>
      </c>
      <c r="Y32" s="273">
        <v>965</v>
      </c>
      <c r="Z32" s="275">
        <v>965</v>
      </c>
      <c r="AA32" s="275">
        <v>965</v>
      </c>
      <c r="AC32" s="159" t="s">
        <v>328</v>
      </c>
      <c r="AD32" s="159" t="s">
        <v>328</v>
      </c>
      <c r="AE32" s="159" t="s">
        <v>328</v>
      </c>
      <c r="AF32" s="159">
        <v>965</v>
      </c>
      <c r="AG32" s="159">
        <v>965</v>
      </c>
      <c r="AH32" s="158" t="s">
        <v>328</v>
      </c>
      <c r="AI32" s="276" t="s">
        <v>328</v>
      </c>
      <c r="AJ32" s="274">
        <v>965</v>
      </c>
      <c r="AK32" s="276">
        <v>965</v>
      </c>
      <c r="AL32" s="274" t="s">
        <v>328</v>
      </c>
      <c r="AM32" s="274" t="s">
        <v>328</v>
      </c>
      <c r="AN32" s="275"/>
    </row>
    <row r="33" spans="1:40" x14ac:dyDescent="0.2">
      <c r="A33" s="456"/>
      <c r="B33" s="75">
        <v>17</v>
      </c>
      <c r="C33" s="76" t="s">
        <v>95</v>
      </c>
      <c r="D33" s="89">
        <v>15</v>
      </c>
      <c r="E33" s="89">
        <v>15</v>
      </c>
      <c r="F33" s="89">
        <v>15</v>
      </c>
      <c r="G33" s="89">
        <v>15</v>
      </c>
      <c r="H33" s="89">
        <v>15</v>
      </c>
      <c r="I33" s="129">
        <v>15</v>
      </c>
      <c r="J33" s="128">
        <v>16</v>
      </c>
      <c r="K33" s="89">
        <v>16</v>
      </c>
      <c r="L33" s="88">
        <v>16</v>
      </c>
      <c r="M33" s="132">
        <v>16</v>
      </c>
      <c r="N33" s="88">
        <v>16</v>
      </c>
      <c r="P33" s="159">
        <v>16</v>
      </c>
      <c r="Q33" s="159">
        <v>16</v>
      </c>
      <c r="R33" s="159">
        <v>16</v>
      </c>
      <c r="S33" s="159">
        <v>16</v>
      </c>
      <c r="T33" s="159">
        <v>16</v>
      </c>
      <c r="U33" s="158">
        <v>16</v>
      </c>
      <c r="V33" s="31">
        <v>16</v>
      </c>
      <c r="W33" s="274">
        <v>16</v>
      </c>
      <c r="X33" s="273">
        <v>16</v>
      </c>
      <c r="Y33" s="273">
        <v>16</v>
      </c>
      <c r="Z33" s="275">
        <v>16</v>
      </c>
      <c r="AA33" s="275">
        <v>16</v>
      </c>
      <c r="AC33" s="159">
        <v>16</v>
      </c>
      <c r="AD33" s="159">
        <v>16</v>
      </c>
      <c r="AE33" s="159">
        <v>16</v>
      </c>
      <c r="AF33" s="159">
        <v>16</v>
      </c>
      <c r="AG33" s="159">
        <v>16</v>
      </c>
      <c r="AH33" s="158">
        <v>16</v>
      </c>
      <c r="AI33" s="31">
        <v>16</v>
      </c>
      <c r="AJ33" s="274">
        <v>16</v>
      </c>
      <c r="AK33" s="276">
        <v>16</v>
      </c>
      <c r="AL33" s="274">
        <v>16</v>
      </c>
      <c r="AM33" s="274">
        <v>16</v>
      </c>
      <c r="AN33" s="275"/>
    </row>
    <row r="34" spans="1:40" x14ac:dyDescent="0.2">
      <c r="A34" s="456"/>
      <c r="B34" s="75">
        <v>18</v>
      </c>
      <c r="C34" s="76" t="s">
        <v>96</v>
      </c>
      <c r="D34" s="89">
        <v>7</v>
      </c>
      <c r="E34" s="89">
        <v>7</v>
      </c>
      <c r="F34" s="89">
        <v>7</v>
      </c>
      <c r="G34" s="89">
        <v>7</v>
      </c>
      <c r="H34" s="89">
        <v>7</v>
      </c>
      <c r="I34" s="129">
        <v>7</v>
      </c>
      <c r="J34" s="128">
        <v>8</v>
      </c>
      <c r="K34" s="89">
        <v>8</v>
      </c>
      <c r="L34" s="88">
        <v>8</v>
      </c>
      <c r="M34" s="132">
        <v>8</v>
      </c>
      <c r="N34" s="88">
        <v>8</v>
      </c>
      <c r="P34" s="159">
        <v>8</v>
      </c>
      <c r="Q34" s="159">
        <v>8</v>
      </c>
      <c r="R34" s="159">
        <v>8</v>
      </c>
      <c r="S34" s="159">
        <v>8</v>
      </c>
      <c r="T34" s="159">
        <v>8</v>
      </c>
      <c r="U34" s="158">
        <v>8</v>
      </c>
      <c r="V34" s="31">
        <v>8</v>
      </c>
      <c r="W34" s="274">
        <v>8</v>
      </c>
      <c r="X34" s="273">
        <v>8</v>
      </c>
      <c r="Y34" s="273">
        <v>8</v>
      </c>
      <c r="Z34" s="275">
        <v>8</v>
      </c>
      <c r="AA34" s="275">
        <v>8</v>
      </c>
      <c r="AC34" s="159">
        <v>8</v>
      </c>
      <c r="AD34" s="159">
        <v>8</v>
      </c>
      <c r="AE34" s="159">
        <v>8</v>
      </c>
      <c r="AF34" s="159">
        <v>8</v>
      </c>
      <c r="AG34" s="159">
        <v>8</v>
      </c>
      <c r="AH34" s="158">
        <v>8</v>
      </c>
      <c r="AI34" s="31">
        <v>8</v>
      </c>
      <c r="AJ34" s="274">
        <v>8</v>
      </c>
      <c r="AK34" s="276">
        <v>8</v>
      </c>
      <c r="AL34" s="274">
        <v>8</v>
      </c>
      <c r="AM34" s="274">
        <v>8</v>
      </c>
      <c r="AN34" s="275"/>
    </row>
    <row r="35" spans="1:40" x14ac:dyDescent="0.2">
      <c r="A35" s="456"/>
      <c r="B35" s="75">
        <v>19</v>
      </c>
      <c r="C35" s="76" t="s">
        <v>97</v>
      </c>
      <c r="D35" s="89">
        <v>5</v>
      </c>
      <c r="E35" s="89">
        <v>5</v>
      </c>
      <c r="F35" s="89">
        <v>5</v>
      </c>
      <c r="G35" s="89">
        <v>6</v>
      </c>
      <c r="H35" s="89">
        <v>5</v>
      </c>
      <c r="I35" s="129">
        <v>5</v>
      </c>
      <c r="J35" s="128">
        <v>5</v>
      </c>
      <c r="K35" s="89">
        <v>5</v>
      </c>
      <c r="L35" s="88">
        <v>5</v>
      </c>
      <c r="M35" s="132">
        <v>5</v>
      </c>
      <c r="N35" s="88">
        <v>5</v>
      </c>
      <c r="P35" s="159">
        <v>5</v>
      </c>
      <c r="Q35" s="159">
        <v>5</v>
      </c>
      <c r="R35" s="159">
        <v>5</v>
      </c>
      <c r="S35" s="159">
        <v>6</v>
      </c>
      <c r="T35" s="159">
        <v>6</v>
      </c>
      <c r="U35" s="158">
        <v>6</v>
      </c>
      <c r="V35" s="276">
        <v>6</v>
      </c>
      <c r="W35" s="274">
        <v>6</v>
      </c>
      <c r="X35" s="273">
        <v>6</v>
      </c>
      <c r="Y35" s="273">
        <v>6</v>
      </c>
      <c r="Z35" s="275">
        <v>6</v>
      </c>
      <c r="AA35" s="275">
        <v>6</v>
      </c>
      <c r="AC35" s="159">
        <v>6</v>
      </c>
      <c r="AD35" s="159">
        <v>6</v>
      </c>
      <c r="AE35" s="159">
        <v>6</v>
      </c>
      <c r="AF35" s="159">
        <v>6</v>
      </c>
      <c r="AG35" s="159">
        <v>6</v>
      </c>
      <c r="AH35" s="158">
        <v>6</v>
      </c>
      <c r="AI35" s="276">
        <v>6</v>
      </c>
      <c r="AJ35" s="274">
        <v>6</v>
      </c>
      <c r="AK35" s="276">
        <v>6</v>
      </c>
      <c r="AL35" s="274">
        <v>6</v>
      </c>
      <c r="AM35" s="274">
        <v>6</v>
      </c>
      <c r="AN35" s="275"/>
    </row>
    <row r="36" spans="1:40" x14ac:dyDescent="0.2">
      <c r="A36" s="456"/>
      <c r="B36" s="75">
        <v>20</v>
      </c>
      <c r="C36" s="76" t="s">
        <v>98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129">
        <v>0</v>
      </c>
      <c r="J36" s="128">
        <v>0</v>
      </c>
      <c r="K36" s="89">
        <v>0</v>
      </c>
      <c r="L36" s="88">
        <v>0</v>
      </c>
      <c r="M36" s="132">
        <v>0</v>
      </c>
      <c r="N36" s="88">
        <v>0</v>
      </c>
      <c r="P36" s="159">
        <v>0</v>
      </c>
      <c r="Q36" s="159">
        <v>0</v>
      </c>
      <c r="R36" s="159">
        <v>0</v>
      </c>
      <c r="S36" s="159">
        <v>0</v>
      </c>
      <c r="T36" s="159">
        <v>0</v>
      </c>
      <c r="U36" s="158">
        <v>0</v>
      </c>
      <c r="V36" s="31">
        <v>0</v>
      </c>
      <c r="W36" s="274">
        <v>0</v>
      </c>
      <c r="X36" s="273">
        <v>0</v>
      </c>
      <c r="Y36" s="273">
        <v>0</v>
      </c>
      <c r="Z36" s="275">
        <v>0</v>
      </c>
      <c r="AA36" s="275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8">
        <v>0</v>
      </c>
      <c r="AI36" s="31">
        <v>0</v>
      </c>
      <c r="AJ36" s="274">
        <v>0</v>
      </c>
      <c r="AK36" s="276">
        <v>0</v>
      </c>
      <c r="AL36" s="274">
        <v>0</v>
      </c>
      <c r="AM36" s="274">
        <v>0</v>
      </c>
      <c r="AN36" s="275"/>
    </row>
    <row r="37" spans="1:40" x14ac:dyDescent="0.2">
      <c r="A37" s="456"/>
      <c r="B37" s="75">
        <v>21</v>
      </c>
      <c r="C37" s="76" t="s">
        <v>99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129">
        <v>0</v>
      </c>
      <c r="J37" s="128">
        <v>0</v>
      </c>
      <c r="K37" s="89">
        <v>0</v>
      </c>
      <c r="L37" s="88">
        <v>0</v>
      </c>
      <c r="M37" s="132">
        <v>0</v>
      </c>
      <c r="N37" s="88">
        <v>0</v>
      </c>
      <c r="P37" s="159">
        <v>0</v>
      </c>
      <c r="Q37" s="159">
        <v>0</v>
      </c>
      <c r="R37" s="159">
        <v>0</v>
      </c>
      <c r="S37" s="159">
        <v>0</v>
      </c>
      <c r="T37" s="159">
        <v>0</v>
      </c>
      <c r="U37" s="158">
        <v>0</v>
      </c>
      <c r="V37" s="31">
        <v>0</v>
      </c>
      <c r="W37" s="274">
        <v>0</v>
      </c>
      <c r="X37" s="273">
        <v>0</v>
      </c>
      <c r="Y37" s="273">
        <v>0</v>
      </c>
      <c r="Z37" s="275">
        <v>0</v>
      </c>
      <c r="AA37" s="275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8">
        <v>0</v>
      </c>
      <c r="AI37" s="31">
        <v>0</v>
      </c>
      <c r="AJ37" s="274">
        <v>0</v>
      </c>
      <c r="AK37" s="276">
        <v>0</v>
      </c>
      <c r="AL37" s="274">
        <v>0</v>
      </c>
      <c r="AM37" s="274">
        <v>0</v>
      </c>
      <c r="AN37" s="275"/>
    </row>
    <row r="38" spans="1:40" x14ac:dyDescent="0.25">
      <c r="A38" s="456"/>
      <c r="B38" s="75">
        <v>22</v>
      </c>
      <c r="C38" s="76" t="s">
        <v>100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128">
        <v>0</v>
      </c>
      <c r="J38" s="128">
        <v>0</v>
      </c>
      <c r="K38" s="89">
        <v>0</v>
      </c>
      <c r="L38" s="88">
        <v>0</v>
      </c>
      <c r="M38" s="132">
        <v>0</v>
      </c>
      <c r="N38" s="88">
        <v>0</v>
      </c>
      <c r="P38" s="159">
        <v>0</v>
      </c>
      <c r="Q38" s="159">
        <v>70100</v>
      </c>
      <c r="R38" s="159">
        <v>90070</v>
      </c>
      <c r="S38" s="159">
        <v>90289</v>
      </c>
      <c r="T38" s="159">
        <v>86844</v>
      </c>
      <c r="U38" s="158">
        <v>71154</v>
      </c>
      <c r="V38" s="276">
        <v>77329</v>
      </c>
      <c r="W38" s="274">
        <v>78252</v>
      </c>
      <c r="X38" s="273">
        <v>65753</v>
      </c>
      <c r="Y38" s="273">
        <v>70738</v>
      </c>
      <c r="Z38" s="275">
        <v>69576</v>
      </c>
      <c r="AA38" s="275">
        <v>73040</v>
      </c>
      <c r="AC38" s="159">
        <v>76628</v>
      </c>
      <c r="AD38" s="159">
        <v>73620</v>
      </c>
      <c r="AE38" s="159">
        <v>93473</v>
      </c>
      <c r="AF38" s="159">
        <v>94732</v>
      </c>
      <c r="AG38" s="159">
        <v>104655</v>
      </c>
      <c r="AH38" s="158">
        <v>89074</v>
      </c>
      <c r="AI38" s="276">
        <v>87494</v>
      </c>
      <c r="AJ38" s="274">
        <v>88801</v>
      </c>
      <c r="AK38" s="276">
        <v>87297</v>
      </c>
      <c r="AL38" s="274">
        <v>85924</v>
      </c>
      <c r="AM38" s="274">
        <v>82233</v>
      </c>
      <c r="AN38" s="275"/>
    </row>
    <row r="39" spans="1:40" x14ac:dyDescent="0.2">
      <c r="A39" s="456"/>
      <c r="B39" s="75">
        <v>23</v>
      </c>
      <c r="C39" s="76" t="s">
        <v>101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129">
        <v>0</v>
      </c>
      <c r="J39" s="128">
        <v>0</v>
      </c>
      <c r="K39" s="89">
        <v>0</v>
      </c>
      <c r="L39" s="88">
        <v>0</v>
      </c>
      <c r="M39" s="132">
        <v>0</v>
      </c>
      <c r="N39" s="88">
        <v>0</v>
      </c>
      <c r="P39" s="159">
        <v>0</v>
      </c>
      <c r="Q39" s="159">
        <v>0</v>
      </c>
      <c r="R39" s="159">
        <v>0</v>
      </c>
      <c r="S39" s="159">
        <v>0</v>
      </c>
      <c r="T39" s="159">
        <v>0</v>
      </c>
      <c r="U39" s="158">
        <v>0</v>
      </c>
      <c r="V39" s="31">
        <v>0</v>
      </c>
      <c r="W39" s="274">
        <v>0</v>
      </c>
      <c r="X39" s="273">
        <v>0</v>
      </c>
      <c r="Y39" s="273">
        <v>0</v>
      </c>
      <c r="Z39" s="275">
        <v>0</v>
      </c>
      <c r="AA39" s="275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8">
        <v>0</v>
      </c>
      <c r="AI39" s="31">
        <v>0</v>
      </c>
      <c r="AJ39" s="274">
        <v>0</v>
      </c>
      <c r="AK39" s="276">
        <v>0</v>
      </c>
      <c r="AL39" s="274">
        <v>0</v>
      </c>
      <c r="AM39" s="274">
        <v>0</v>
      </c>
      <c r="AN39" s="275"/>
    </row>
    <row r="40" spans="1:40" x14ac:dyDescent="0.25">
      <c r="A40" s="456"/>
      <c r="B40" s="75">
        <v>24</v>
      </c>
      <c r="C40" s="76" t="s">
        <v>102</v>
      </c>
      <c r="D40" s="135">
        <v>74117.36</v>
      </c>
      <c r="E40" s="89">
        <v>74117.36</v>
      </c>
      <c r="F40" s="89">
        <v>74117.36</v>
      </c>
      <c r="G40" s="89">
        <v>74186.36</v>
      </c>
      <c r="H40" s="89" t="s">
        <v>243</v>
      </c>
      <c r="I40" s="128" t="s">
        <v>243</v>
      </c>
      <c r="J40" s="128" t="s">
        <v>270</v>
      </c>
      <c r="K40" s="89" t="s">
        <v>270</v>
      </c>
      <c r="L40" s="88" t="s">
        <v>270</v>
      </c>
      <c r="M40" s="88" t="s">
        <v>270</v>
      </c>
      <c r="N40" s="88" t="s">
        <v>243</v>
      </c>
      <c r="P40" s="161">
        <v>74120.75</v>
      </c>
      <c r="Q40" s="161">
        <v>74120.75</v>
      </c>
      <c r="R40" s="161">
        <v>74120.75</v>
      </c>
      <c r="S40" s="161">
        <v>74120.75</v>
      </c>
      <c r="T40" s="161" t="s">
        <v>270</v>
      </c>
      <c r="U40" s="158" t="s">
        <v>270</v>
      </c>
      <c r="V40" s="276" t="s">
        <v>301</v>
      </c>
      <c r="W40" s="274" t="s">
        <v>301</v>
      </c>
      <c r="X40" s="275" t="s">
        <v>301</v>
      </c>
      <c r="Y40" s="273" t="s">
        <v>301</v>
      </c>
      <c r="Z40" s="275" t="s">
        <v>301</v>
      </c>
      <c r="AA40" s="275" t="s">
        <v>301</v>
      </c>
      <c r="AC40" s="161" t="s">
        <v>301</v>
      </c>
      <c r="AD40" s="161" t="s">
        <v>301</v>
      </c>
      <c r="AE40" s="161" t="s">
        <v>340</v>
      </c>
      <c r="AF40" s="161" t="s">
        <v>301</v>
      </c>
      <c r="AG40" s="161" t="s">
        <v>301</v>
      </c>
      <c r="AH40" s="335" t="s">
        <v>301</v>
      </c>
      <c r="AI40" s="276" t="s">
        <v>301</v>
      </c>
      <c r="AJ40" s="274" t="s">
        <v>301</v>
      </c>
      <c r="AK40" s="276" t="s">
        <v>301</v>
      </c>
      <c r="AL40" s="274" t="s">
        <v>301</v>
      </c>
      <c r="AM40" s="274" t="s">
        <v>301</v>
      </c>
      <c r="AN40" s="275"/>
    </row>
    <row r="41" spans="1:40" x14ac:dyDescent="0.25">
      <c r="A41" s="456"/>
      <c r="B41" s="75">
        <v>25</v>
      </c>
      <c r="C41" s="76" t="s">
        <v>103</v>
      </c>
      <c r="D41" s="89">
        <v>39</v>
      </c>
      <c r="E41" s="89">
        <v>12</v>
      </c>
      <c r="F41" s="89">
        <v>13</v>
      </c>
      <c r="G41" s="89">
        <v>7</v>
      </c>
      <c r="H41" s="89">
        <v>13</v>
      </c>
      <c r="I41" s="128">
        <v>18</v>
      </c>
      <c r="J41" s="128">
        <v>11</v>
      </c>
      <c r="K41" s="89">
        <v>6</v>
      </c>
      <c r="L41" s="88">
        <v>8</v>
      </c>
      <c r="M41" s="132">
        <v>24</v>
      </c>
      <c r="N41" s="88">
        <v>17</v>
      </c>
      <c r="P41" s="159">
        <v>25</v>
      </c>
      <c r="Q41" s="159">
        <v>16</v>
      </c>
      <c r="R41" s="159">
        <v>13</v>
      </c>
      <c r="S41" s="159">
        <v>17</v>
      </c>
      <c r="T41" s="159">
        <v>13</v>
      </c>
      <c r="U41" s="158">
        <v>12</v>
      </c>
      <c r="V41" s="276">
        <v>16</v>
      </c>
      <c r="W41" s="274">
        <v>18</v>
      </c>
      <c r="X41" s="275">
        <v>15</v>
      </c>
      <c r="Y41" s="273">
        <v>17</v>
      </c>
      <c r="Z41" s="275"/>
      <c r="AA41" s="275">
        <v>9</v>
      </c>
      <c r="AC41" s="159">
        <v>10</v>
      </c>
      <c r="AD41" s="159">
        <v>10</v>
      </c>
      <c r="AE41" s="159">
        <v>9</v>
      </c>
      <c r="AF41" s="159">
        <v>5</v>
      </c>
      <c r="AG41" s="159">
        <v>14</v>
      </c>
      <c r="AH41" s="158">
        <v>17</v>
      </c>
      <c r="AI41" s="336">
        <v>17</v>
      </c>
      <c r="AJ41" s="274">
        <v>10</v>
      </c>
      <c r="AK41" s="276">
        <v>9</v>
      </c>
      <c r="AL41" s="274">
        <v>16</v>
      </c>
      <c r="AM41" s="274">
        <v>6</v>
      </c>
      <c r="AN41" s="275"/>
    </row>
    <row r="42" spans="1:40" x14ac:dyDescent="0.2">
      <c r="A42" s="456"/>
      <c r="B42" s="75">
        <v>26</v>
      </c>
      <c r="C42" s="76" t="s">
        <v>104</v>
      </c>
      <c r="D42" s="135">
        <v>49454.33</v>
      </c>
      <c r="E42" s="89">
        <v>49454.33</v>
      </c>
      <c r="F42" s="89">
        <v>49454.33</v>
      </c>
      <c r="G42" s="89">
        <v>49454.33</v>
      </c>
      <c r="H42" s="89" t="s">
        <v>244</v>
      </c>
      <c r="I42" s="128" t="s">
        <v>244</v>
      </c>
      <c r="J42" s="124">
        <v>2414333</v>
      </c>
      <c r="K42" s="89" t="s">
        <v>244</v>
      </c>
      <c r="L42" s="88" t="s">
        <v>244</v>
      </c>
      <c r="M42" s="132" t="s">
        <v>244</v>
      </c>
      <c r="N42" s="88" t="s">
        <v>244</v>
      </c>
      <c r="P42" s="162" t="s">
        <v>244</v>
      </c>
      <c r="Q42" s="162" t="s">
        <v>244</v>
      </c>
      <c r="R42" s="162" t="s">
        <v>244</v>
      </c>
      <c r="S42" s="162" t="s">
        <v>244</v>
      </c>
      <c r="T42" s="162" t="s">
        <v>244</v>
      </c>
      <c r="U42" s="158" t="s">
        <v>244</v>
      </c>
      <c r="V42" s="277" t="s">
        <v>244</v>
      </c>
      <c r="W42" s="274" t="s">
        <v>244</v>
      </c>
      <c r="X42" s="275" t="s">
        <v>244</v>
      </c>
      <c r="Y42" s="273" t="s">
        <v>244</v>
      </c>
      <c r="Z42" s="275" t="s">
        <v>244</v>
      </c>
      <c r="AA42" s="275" t="s">
        <v>244</v>
      </c>
      <c r="AC42" s="162" t="s">
        <v>244</v>
      </c>
      <c r="AD42" s="162">
        <v>49454.33</v>
      </c>
      <c r="AE42" s="162">
        <v>49454.33</v>
      </c>
      <c r="AF42" s="162">
        <v>49454.33</v>
      </c>
      <c r="AG42" s="162">
        <v>49454.33</v>
      </c>
      <c r="AH42" s="158">
        <v>49454.33</v>
      </c>
      <c r="AI42" s="363">
        <v>49454.33</v>
      </c>
      <c r="AJ42" s="274">
        <v>49454.33</v>
      </c>
      <c r="AK42" s="276">
        <v>49454.33</v>
      </c>
      <c r="AL42" s="274">
        <v>49454.33</v>
      </c>
      <c r="AM42" s="274">
        <v>49454.33</v>
      </c>
      <c r="AN42" s="275"/>
    </row>
    <row r="43" spans="1:40" s="92" customFormat="1" x14ac:dyDescent="0.2">
      <c r="A43" s="456"/>
      <c r="B43" s="90">
        <v>27</v>
      </c>
      <c r="C43" s="91" t="s">
        <v>105</v>
      </c>
      <c r="D43" s="89">
        <v>1</v>
      </c>
      <c r="E43" s="89">
        <v>16</v>
      </c>
      <c r="F43" s="89">
        <v>13</v>
      </c>
      <c r="G43" s="89">
        <v>16</v>
      </c>
      <c r="H43" s="89">
        <v>15</v>
      </c>
      <c r="I43" s="129">
        <v>21</v>
      </c>
      <c r="J43" s="124">
        <v>3</v>
      </c>
      <c r="K43" s="89">
        <v>9</v>
      </c>
      <c r="L43" s="88">
        <v>5</v>
      </c>
      <c r="M43" s="132">
        <v>4</v>
      </c>
      <c r="N43" s="88">
        <v>6</v>
      </c>
      <c r="P43" s="159">
        <v>5</v>
      </c>
      <c r="Q43" s="159">
        <v>1</v>
      </c>
      <c r="R43" s="159">
        <v>1</v>
      </c>
      <c r="S43" s="159">
        <v>3</v>
      </c>
      <c r="T43" s="159">
        <v>5</v>
      </c>
      <c r="U43" s="158">
        <v>14</v>
      </c>
      <c r="V43" s="31">
        <v>6</v>
      </c>
      <c r="W43" s="274">
        <v>6</v>
      </c>
      <c r="X43" s="273">
        <v>19</v>
      </c>
      <c r="Y43" s="273">
        <v>10</v>
      </c>
      <c r="Z43" s="275"/>
      <c r="AA43" s="275">
        <v>5</v>
      </c>
      <c r="AC43" s="159">
        <v>3</v>
      </c>
      <c r="AD43" s="159">
        <v>10</v>
      </c>
      <c r="AE43" s="159">
        <v>6</v>
      </c>
      <c r="AF43" s="159"/>
      <c r="AG43" s="159">
        <v>9</v>
      </c>
      <c r="AH43" s="158">
        <v>5</v>
      </c>
      <c r="AI43" s="366">
        <v>12</v>
      </c>
      <c r="AJ43" s="274">
        <v>6</v>
      </c>
      <c r="AK43" s="276">
        <v>9</v>
      </c>
      <c r="AL43" s="274">
        <v>6</v>
      </c>
      <c r="AM43" s="274">
        <v>8</v>
      </c>
      <c r="AN43" s="275"/>
    </row>
    <row r="44" spans="1:40" x14ac:dyDescent="0.2">
      <c r="A44" s="456"/>
      <c r="B44" s="75">
        <v>28</v>
      </c>
      <c r="C44" s="76" t="s">
        <v>106</v>
      </c>
      <c r="D44" s="89">
        <v>2</v>
      </c>
      <c r="E44" s="89">
        <v>2</v>
      </c>
      <c r="F44" s="89">
        <v>2</v>
      </c>
      <c r="G44" s="89">
        <v>1</v>
      </c>
      <c r="H44" s="89">
        <v>1</v>
      </c>
      <c r="I44" s="129">
        <v>1</v>
      </c>
      <c r="J44" s="126">
        <v>1</v>
      </c>
      <c r="K44" s="89">
        <v>1</v>
      </c>
      <c r="L44" s="88">
        <v>1</v>
      </c>
      <c r="M44" s="132">
        <v>1</v>
      </c>
      <c r="N44" s="88">
        <v>1</v>
      </c>
      <c r="P44" s="159">
        <v>1</v>
      </c>
      <c r="Q44" s="159">
        <v>1</v>
      </c>
      <c r="R44" s="159">
        <v>1</v>
      </c>
      <c r="S44" s="159">
        <v>1</v>
      </c>
      <c r="T44" s="159">
        <v>1</v>
      </c>
      <c r="U44" s="158">
        <v>1</v>
      </c>
      <c r="V44" s="31">
        <v>1</v>
      </c>
      <c r="W44" s="274">
        <v>1</v>
      </c>
      <c r="X44" s="273">
        <v>1</v>
      </c>
      <c r="Y44" s="273">
        <v>1</v>
      </c>
      <c r="Z44" s="275">
        <v>1</v>
      </c>
      <c r="AA44" s="275">
        <v>1</v>
      </c>
      <c r="AC44" s="159">
        <v>1</v>
      </c>
      <c r="AD44" s="159">
        <v>1</v>
      </c>
      <c r="AE44" s="159">
        <v>1</v>
      </c>
      <c r="AF44" s="159">
        <v>1</v>
      </c>
      <c r="AG44" s="159">
        <v>1</v>
      </c>
      <c r="AH44" s="158">
        <v>1</v>
      </c>
      <c r="AI44" s="31">
        <v>1</v>
      </c>
      <c r="AJ44" s="274">
        <v>1</v>
      </c>
      <c r="AK44" s="276">
        <v>1</v>
      </c>
      <c r="AL44" s="274">
        <v>1</v>
      </c>
      <c r="AM44" s="274">
        <v>1</v>
      </c>
      <c r="AN44" s="275"/>
    </row>
    <row r="45" spans="1:40" x14ac:dyDescent="0.2">
      <c r="A45" s="456"/>
      <c r="B45" s="75">
        <v>29</v>
      </c>
      <c r="C45" s="76" t="s">
        <v>34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129">
        <v>0</v>
      </c>
      <c r="J45" s="126">
        <v>0</v>
      </c>
      <c r="K45" s="89">
        <v>0</v>
      </c>
      <c r="L45" s="88">
        <v>0</v>
      </c>
      <c r="M45" s="132">
        <v>0</v>
      </c>
      <c r="N45" s="88">
        <v>0</v>
      </c>
      <c r="P45" s="159">
        <v>0</v>
      </c>
      <c r="Q45" s="159">
        <v>0</v>
      </c>
      <c r="R45" s="159">
        <v>0</v>
      </c>
      <c r="S45" s="159">
        <v>0</v>
      </c>
      <c r="T45" s="159">
        <v>0</v>
      </c>
      <c r="U45" s="158">
        <v>0</v>
      </c>
      <c r="V45" s="31">
        <v>0</v>
      </c>
      <c r="W45" s="274">
        <v>0</v>
      </c>
      <c r="X45" s="273">
        <v>0</v>
      </c>
      <c r="Y45" s="273">
        <v>0</v>
      </c>
      <c r="Z45" s="275">
        <v>0</v>
      </c>
      <c r="AA45" s="275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8">
        <v>0</v>
      </c>
      <c r="AI45" s="31"/>
      <c r="AJ45" s="274"/>
      <c r="AK45" s="276">
        <v>0</v>
      </c>
      <c r="AL45" s="274">
        <v>0</v>
      </c>
      <c r="AM45" s="274">
        <v>0</v>
      </c>
      <c r="AN45" s="275"/>
    </row>
    <row r="46" spans="1:40" x14ac:dyDescent="0.2">
      <c r="A46" s="456"/>
      <c r="B46" s="75">
        <v>30</v>
      </c>
      <c r="C46" s="76" t="s">
        <v>107</v>
      </c>
      <c r="D46" s="89">
        <v>5887</v>
      </c>
      <c r="E46" s="89">
        <v>5907</v>
      </c>
      <c r="F46" s="89">
        <v>5915</v>
      </c>
      <c r="G46" s="89">
        <v>5931</v>
      </c>
      <c r="H46" s="89">
        <f>+G46+14</f>
        <v>5945</v>
      </c>
      <c r="I46" s="129">
        <f>+H46+12</f>
        <v>5957</v>
      </c>
      <c r="J46" s="126">
        <f>+I46+9</f>
        <v>5966</v>
      </c>
      <c r="K46" s="89">
        <f>+J46+9</f>
        <v>5975</v>
      </c>
      <c r="L46" s="88"/>
      <c r="M46" s="132"/>
      <c r="N46" s="88"/>
      <c r="P46" s="159"/>
      <c r="Q46" s="159"/>
      <c r="R46" s="159"/>
      <c r="S46" s="159"/>
      <c r="T46" s="159"/>
      <c r="U46" s="158"/>
      <c r="V46" s="31"/>
      <c r="W46" s="274"/>
      <c r="X46" s="273"/>
      <c r="Y46" s="273"/>
      <c r="Z46" s="275"/>
      <c r="AA46" s="275"/>
      <c r="AC46" s="159">
        <v>5283</v>
      </c>
      <c r="AD46" s="159">
        <f>+AC46+23</f>
        <v>5306</v>
      </c>
      <c r="AE46" s="159"/>
      <c r="AF46" s="159"/>
      <c r="AG46" s="159"/>
      <c r="AH46" s="158"/>
      <c r="AI46" s="31"/>
      <c r="AJ46" s="274"/>
      <c r="AK46" s="276"/>
      <c r="AL46" s="274"/>
      <c r="AM46" s="274"/>
      <c r="AN46" s="275"/>
    </row>
    <row r="47" spans="1:40" x14ac:dyDescent="0.25">
      <c r="A47" s="457"/>
      <c r="B47" s="75">
        <v>31</v>
      </c>
      <c r="C47" s="76" t="s">
        <v>108</v>
      </c>
      <c r="D47" s="127">
        <v>106754</v>
      </c>
      <c r="E47" s="89">
        <v>58484</v>
      </c>
      <c r="F47" s="89">
        <v>54048</v>
      </c>
      <c r="G47" s="89">
        <v>70809</v>
      </c>
      <c r="H47" s="89">
        <v>99.617999999999995</v>
      </c>
      <c r="I47" s="128">
        <v>96205</v>
      </c>
      <c r="J47" s="136">
        <v>86878</v>
      </c>
      <c r="K47" s="127">
        <v>78481</v>
      </c>
      <c r="L47" s="137">
        <v>87820</v>
      </c>
      <c r="M47" s="132">
        <v>93579</v>
      </c>
      <c r="N47" s="88">
        <v>95371</v>
      </c>
      <c r="O47" s="285">
        <f>+P47+Q47</f>
        <v>180359</v>
      </c>
      <c r="P47" s="161">
        <v>93267</v>
      </c>
      <c r="Q47" s="161">
        <v>87092</v>
      </c>
      <c r="R47" s="159">
        <v>108075</v>
      </c>
      <c r="S47" s="159">
        <v>110680</v>
      </c>
      <c r="T47" s="159">
        <v>108491</v>
      </c>
      <c r="U47" s="158">
        <v>94074</v>
      </c>
      <c r="V47" s="276">
        <v>101764</v>
      </c>
      <c r="W47" s="274">
        <v>103114</v>
      </c>
      <c r="X47" s="273">
        <v>85396</v>
      </c>
      <c r="Y47" s="273">
        <v>92551</v>
      </c>
      <c r="Z47" s="275">
        <v>88993</v>
      </c>
      <c r="AA47" s="275">
        <v>94789</v>
      </c>
      <c r="AB47" s="285">
        <f>SUM(P47:AA47)</f>
        <v>1168286</v>
      </c>
      <c r="AC47" s="161">
        <v>91963</v>
      </c>
      <c r="AD47" s="161">
        <v>86724</v>
      </c>
      <c r="AE47" s="159">
        <v>108112</v>
      </c>
      <c r="AF47" s="159">
        <v>111385</v>
      </c>
      <c r="AG47" s="159">
        <v>130265</v>
      </c>
      <c r="AH47" s="158">
        <v>105242</v>
      </c>
      <c r="AI47" s="363">
        <v>109783</v>
      </c>
      <c r="AJ47" s="274">
        <v>110456</v>
      </c>
      <c r="AK47" s="276">
        <v>102907</v>
      </c>
      <c r="AL47" s="274" t="s">
        <v>360</v>
      </c>
      <c r="AM47" s="274" t="s">
        <v>361</v>
      </c>
      <c r="AN47" s="275"/>
    </row>
    <row r="48" spans="1:40" x14ac:dyDescent="0.25">
      <c r="A48" s="93"/>
      <c r="B48" s="94"/>
      <c r="C48" s="95"/>
      <c r="D48" s="138"/>
      <c r="E48" s="139"/>
      <c r="F48" s="139"/>
      <c r="G48" s="139"/>
      <c r="H48" s="139"/>
      <c r="I48" s="139"/>
      <c r="J48" s="126"/>
      <c r="K48" s="89"/>
      <c r="L48" s="98"/>
      <c r="M48" s="98"/>
      <c r="N48" s="98"/>
      <c r="P48" s="163"/>
      <c r="Q48" s="163"/>
      <c r="R48" s="163"/>
      <c r="S48" s="164"/>
      <c r="T48" s="156"/>
      <c r="U48" s="158"/>
      <c r="V48" s="278">
        <f>+V47+W47</f>
        <v>204878</v>
      </c>
      <c r="W48" s="274"/>
      <c r="X48" s="273"/>
      <c r="Y48" s="273"/>
      <c r="Z48" s="275"/>
      <c r="AA48" s="275"/>
      <c r="AC48" s="163"/>
      <c r="AD48" s="163"/>
      <c r="AE48" s="163"/>
      <c r="AF48" s="164"/>
      <c r="AG48" s="156"/>
      <c r="AH48" s="158"/>
      <c r="AI48" s="278"/>
      <c r="AJ48" s="274"/>
      <c r="AK48" s="273"/>
      <c r="AL48" s="274"/>
      <c r="AM48" s="274"/>
      <c r="AN48" s="275"/>
    </row>
    <row r="49" spans="1:40" x14ac:dyDescent="0.25">
      <c r="A49" s="458" t="s">
        <v>109</v>
      </c>
      <c r="B49" s="75">
        <v>1</v>
      </c>
      <c r="C49" s="76" t="s">
        <v>110</v>
      </c>
      <c r="D49" s="135">
        <v>67777.5</v>
      </c>
      <c r="E49" s="89">
        <v>35190.5</v>
      </c>
      <c r="F49" s="89">
        <v>35488.25</v>
      </c>
      <c r="G49" s="89">
        <v>36302</v>
      </c>
      <c r="H49" s="89">
        <v>36505</v>
      </c>
      <c r="I49" s="128">
        <v>39490.5</v>
      </c>
      <c r="J49" s="140">
        <f>J50*1.75</f>
        <v>39124.75</v>
      </c>
      <c r="K49" s="89" t="s">
        <v>274</v>
      </c>
      <c r="L49" s="88">
        <v>21655</v>
      </c>
      <c r="M49" s="132" t="s">
        <v>277</v>
      </c>
      <c r="N49" s="88">
        <v>32963</v>
      </c>
      <c r="O49" s="96"/>
      <c r="P49" s="165">
        <v>30307</v>
      </c>
      <c r="Q49" s="165">
        <v>29218</v>
      </c>
      <c r="R49" s="158">
        <v>29526</v>
      </c>
      <c r="S49" s="159">
        <v>31278</v>
      </c>
      <c r="T49" s="159">
        <v>37737</v>
      </c>
      <c r="U49" s="158">
        <v>37651</v>
      </c>
      <c r="V49" s="276">
        <v>40201</v>
      </c>
      <c r="W49" s="274">
        <v>38197.300000000003</v>
      </c>
      <c r="X49" s="273">
        <v>41259.75</v>
      </c>
      <c r="Y49" s="273">
        <v>44341.5</v>
      </c>
      <c r="Z49" s="275">
        <v>41861.75</v>
      </c>
      <c r="AA49" s="275">
        <v>34580</v>
      </c>
      <c r="AB49" s="71">
        <f>SUM(P49:AA49)</f>
        <v>436158.3</v>
      </c>
      <c r="AC49" s="165">
        <v>27281</v>
      </c>
      <c r="AD49" s="165">
        <v>29893.33</v>
      </c>
      <c r="AE49" s="158">
        <v>30712</v>
      </c>
      <c r="AF49" s="159">
        <v>29481</v>
      </c>
      <c r="AG49" s="159">
        <v>29295</v>
      </c>
      <c r="AH49" s="158">
        <v>28828</v>
      </c>
      <c r="AI49" s="276">
        <v>27984</v>
      </c>
      <c r="AJ49" s="274">
        <v>29692.53</v>
      </c>
      <c r="AK49" s="273">
        <v>27658.3</v>
      </c>
      <c r="AL49" s="274">
        <v>26963.200000000001</v>
      </c>
      <c r="AM49" s="274">
        <v>23775.1</v>
      </c>
      <c r="AN49" s="275"/>
    </row>
    <row r="50" spans="1:40" x14ac:dyDescent="0.25">
      <c r="A50" s="458"/>
      <c r="B50" s="75">
        <v>2</v>
      </c>
      <c r="C50" s="76" t="s">
        <v>111</v>
      </c>
      <c r="D50" s="127">
        <v>38730</v>
      </c>
      <c r="E50" s="89">
        <v>20110</v>
      </c>
      <c r="F50" s="89">
        <v>20279</v>
      </c>
      <c r="G50" s="89">
        <v>20744</v>
      </c>
      <c r="H50" s="89">
        <v>20860</v>
      </c>
      <c r="I50" s="128">
        <v>22.565999999999999</v>
      </c>
      <c r="J50" s="140">
        <f>'[3]PTAR 2017'!$E$299</f>
        <v>22357</v>
      </c>
      <c r="K50" s="89">
        <v>21.004999999999999</v>
      </c>
      <c r="L50" s="88">
        <v>21655</v>
      </c>
      <c r="M50" s="132">
        <v>19.994</v>
      </c>
      <c r="N50" s="88">
        <v>18.835999999999999</v>
      </c>
      <c r="P50" s="165">
        <v>17318</v>
      </c>
      <c r="Q50" s="165">
        <v>16696</v>
      </c>
      <c r="R50" s="158">
        <v>16872</v>
      </c>
      <c r="S50" s="159">
        <v>17873</v>
      </c>
      <c r="T50" s="159">
        <v>21564</v>
      </c>
      <c r="U50" s="158">
        <v>21515</v>
      </c>
      <c r="V50" s="276">
        <v>22972</v>
      </c>
      <c r="W50" s="274">
        <v>21827</v>
      </c>
      <c r="X50" s="273">
        <v>23577</v>
      </c>
      <c r="Y50" s="273">
        <v>25338</v>
      </c>
      <c r="Z50" s="275">
        <v>23921</v>
      </c>
      <c r="AA50" s="275">
        <v>19760</v>
      </c>
      <c r="AC50" s="165">
        <v>20461</v>
      </c>
      <c r="AD50" s="165">
        <v>22420</v>
      </c>
      <c r="AE50" s="158">
        <v>23034</v>
      </c>
      <c r="AF50" s="159">
        <v>22111</v>
      </c>
      <c r="AG50" s="159">
        <v>21971</v>
      </c>
      <c r="AH50" s="158">
        <v>21621</v>
      </c>
      <c r="AI50" s="276">
        <v>20988</v>
      </c>
      <c r="AJ50" s="274">
        <v>22269.4</v>
      </c>
      <c r="AK50" s="273">
        <v>20743.7</v>
      </c>
      <c r="AL50" s="274">
        <v>20222.400000000001</v>
      </c>
      <c r="AM50" s="274">
        <v>17831.3</v>
      </c>
      <c r="AN50" s="275"/>
    </row>
    <row r="51" spans="1:40" x14ac:dyDescent="0.25">
      <c r="A51" s="458"/>
      <c r="B51" s="75">
        <v>3</v>
      </c>
      <c r="C51" s="76" t="s">
        <v>112</v>
      </c>
      <c r="D51" s="89">
        <v>20</v>
      </c>
      <c r="E51" s="89">
        <v>10</v>
      </c>
      <c r="F51" s="89">
        <v>10</v>
      </c>
      <c r="G51" s="89">
        <v>10</v>
      </c>
      <c r="H51" s="89">
        <v>10</v>
      </c>
      <c r="I51" s="128">
        <v>10</v>
      </c>
      <c r="J51" s="128">
        <v>10</v>
      </c>
      <c r="K51" s="89">
        <v>10</v>
      </c>
      <c r="L51" s="88">
        <v>10</v>
      </c>
      <c r="M51" s="132">
        <v>10</v>
      </c>
      <c r="N51" s="88">
        <v>10</v>
      </c>
      <c r="P51" s="158">
        <v>10</v>
      </c>
      <c r="Q51" s="158">
        <v>10</v>
      </c>
      <c r="R51" s="158">
        <v>10</v>
      </c>
      <c r="S51" s="159">
        <v>10</v>
      </c>
      <c r="T51" s="159">
        <v>10</v>
      </c>
      <c r="U51" s="158">
        <v>10</v>
      </c>
      <c r="V51" s="276">
        <v>10</v>
      </c>
      <c r="W51" s="274">
        <v>10</v>
      </c>
      <c r="X51" s="273">
        <v>10</v>
      </c>
      <c r="Y51" s="273">
        <v>10</v>
      </c>
      <c r="Z51" s="275">
        <v>10</v>
      </c>
      <c r="AA51" s="275">
        <v>10</v>
      </c>
      <c r="AC51" s="158">
        <v>10</v>
      </c>
      <c r="AD51" s="158">
        <v>10</v>
      </c>
      <c r="AE51" s="158">
        <v>10</v>
      </c>
      <c r="AF51" s="159">
        <v>10</v>
      </c>
      <c r="AG51" s="159">
        <v>10</v>
      </c>
      <c r="AH51" s="158">
        <v>10</v>
      </c>
      <c r="AI51" s="276">
        <v>10</v>
      </c>
      <c r="AJ51" s="274">
        <v>10</v>
      </c>
      <c r="AK51" s="273">
        <v>10</v>
      </c>
      <c r="AL51" s="274">
        <v>10</v>
      </c>
      <c r="AM51" s="274">
        <v>10</v>
      </c>
      <c r="AN51" s="275"/>
    </row>
    <row r="52" spans="1:40" x14ac:dyDescent="0.25">
      <c r="A52" s="458"/>
      <c r="B52" s="75">
        <v>4</v>
      </c>
      <c r="C52" s="76" t="s">
        <v>113</v>
      </c>
      <c r="D52" s="135">
        <v>22821.599999999999</v>
      </c>
      <c r="E52" s="89">
        <v>11721.6</v>
      </c>
      <c r="F52" s="89">
        <v>14303.1</v>
      </c>
      <c r="G52" s="97">
        <v>14862.2</v>
      </c>
      <c r="H52" s="97">
        <v>17092</v>
      </c>
      <c r="I52" s="128">
        <v>19553.3</v>
      </c>
      <c r="J52" s="128">
        <f>'[3]PTAR 2017'!$H$299</f>
        <v>19155.200000000012</v>
      </c>
      <c r="K52" s="89" t="s">
        <v>275</v>
      </c>
      <c r="L52" s="88">
        <v>190043</v>
      </c>
      <c r="M52" s="132">
        <v>170.81299999999999</v>
      </c>
      <c r="N52" s="88">
        <v>166.39500000000001</v>
      </c>
      <c r="P52" s="165">
        <v>13491</v>
      </c>
      <c r="Q52" s="165">
        <v>13579.5</v>
      </c>
      <c r="R52" s="166">
        <v>13570.3</v>
      </c>
      <c r="S52" s="167">
        <v>14750</v>
      </c>
      <c r="T52" s="167">
        <v>18799</v>
      </c>
      <c r="U52" s="158">
        <v>17234</v>
      </c>
      <c r="V52" s="276">
        <v>20530</v>
      </c>
      <c r="W52" s="274">
        <v>18898.5</v>
      </c>
      <c r="X52" s="273">
        <v>19523.400000000001</v>
      </c>
      <c r="Y52" s="273">
        <v>20224.400000000001</v>
      </c>
      <c r="Z52" s="275">
        <v>17583.900000000001</v>
      </c>
      <c r="AA52" s="275" t="s">
        <v>322</v>
      </c>
      <c r="AC52" s="165">
        <v>15835</v>
      </c>
      <c r="AD52" s="165">
        <v>19091.3</v>
      </c>
      <c r="AE52" s="166">
        <v>19192</v>
      </c>
      <c r="AF52" s="167">
        <v>19301</v>
      </c>
      <c r="AG52" s="167">
        <v>18437</v>
      </c>
      <c r="AH52" s="158">
        <v>18490</v>
      </c>
      <c r="AI52" s="276">
        <v>19283</v>
      </c>
      <c r="AJ52" s="274">
        <v>18969.400000000001</v>
      </c>
      <c r="AK52" s="273">
        <v>17443.7</v>
      </c>
      <c r="AL52" s="274">
        <v>16922.400000000001</v>
      </c>
      <c r="AM52" s="274">
        <v>14531.3</v>
      </c>
      <c r="AN52" s="275"/>
    </row>
    <row r="53" spans="1:40" x14ac:dyDescent="0.25">
      <c r="A53" s="458"/>
      <c r="B53" s="75">
        <v>5</v>
      </c>
      <c r="C53" s="76" t="s">
        <v>114</v>
      </c>
      <c r="D53" s="127">
        <v>2038</v>
      </c>
      <c r="E53" s="89">
        <v>1255</v>
      </c>
      <c r="F53" s="89">
        <v>810</v>
      </c>
      <c r="G53" s="89">
        <v>1010</v>
      </c>
      <c r="H53" s="89">
        <v>580</v>
      </c>
      <c r="I53" s="128">
        <v>80</v>
      </c>
      <c r="J53" s="128">
        <f>[4]SERVICIOS!$E$1023</f>
        <v>790</v>
      </c>
      <c r="K53" s="89">
        <v>420</v>
      </c>
      <c r="L53" s="88">
        <v>690</v>
      </c>
      <c r="M53" s="132">
        <v>1596</v>
      </c>
      <c r="N53" s="88">
        <v>758</v>
      </c>
      <c r="P53" s="168">
        <v>70</v>
      </c>
      <c r="Q53" s="168">
        <v>530</v>
      </c>
      <c r="R53" s="159">
        <v>571</v>
      </c>
      <c r="S53" s="159">
        <v>1080</v>
      </c>
      <c r="T53" s="159">
        <v>1123</v>
      </c>
      <c r="U53" s="158">
        <v>398</v>
      </c>
      <c r="V53" s="276">
        <v>308</v>
      </c>
      <c r="W53" s="274">
        <v>239</v>
      </c>
      <c r="X53" s="273">
        <v>80</v>
      </c>
      <c r="Y53" s="273">
        <v>0</v>
      </c>
      <c r="Z53" s="275">
        <v>10</v>
      </c>
      <c r="AA53" s="275">
        <v>40</v>
      </c>
      <c r="AB53" s="285"/>
      <c r="AC53" s="168">
        <v>210</v>
      </c>
      <c r="AD53" s="168">
        <v>360</v>
      </c>
      <c r="AE53" s="159">
        <v>430</v>
      </c>
      <c r="AF53" s="159">
        <v>1091</v>
      </c>
      <c r="AG53" s="159">
        <v>1228</v>
      </c>
      <c r="AH53" s="158">
        <v>293</v>
      </c>
      <c r="AI53" s="276">
        <v>90</v>
      </c>
      <c r="AJ53" s="274">
        <v>290</v>
      </c>
      <c r="AK53" s="273">
        <v>260</v>
      </c>
      <c r="AL53" s="274">
        <v>940</v>
      </c>
      <c r="AM53" s="274">
        <v>250</v>
      </c>
      <c r="AN53" s="275"/>
    </row>
    <row r="54" spans="1:40" x14ac:dyDescent="0.25">
      <c r="A54" s="458"/>
      <c r="B54" s="75">
        <v>6</v>
      </c>
      <c r="C54" s="76" t="s">
        <v>115</v>
      </c>
      <c r="D54" s="127">
        <v>5008</v>
      </c>
      <c r="E54" s="89">
        <v>2641</v>
      </c>
      <c r="F54" s="89">
        <v>3025</v>
      </c>
      <c r="G54" s="89">
        <v>3260</v>
      </c>
      <c r="H54" s="89">
        <v>3348</v>
      </c>
      <c r="I54" s="128">
        <v>3408</v>
      </c>
      <c r="J54" s="128">
        <f>'[3]PTAR 2017'!$K$299</f>
        <v>3756</v>
      </c>
      <c r="K54" s="89">
        <v>4720</v>
      </c>
      <c r="L54" s="88">
        <v>3976</v>
      </c>
      <c r="M54" s="132">
        <v>3790</v>
      </c>
      <c r="N54" s="88">
        <v>4022</v>
      </c>
      <c r="P54" s="168">
        <v>4223</v>
      </c>
      <c r="Q54" s="168">
        <v>3859</v>
      </c>
      <c r="R54" s="159">
        <v>5637</v>
      </c>
      <c r="S54" s="159">
        <v>3687</v>
      </c>
      <c r="T54" s="159">
        <v>4147</v>
      </c>
      <c r="U54" s="158">
        <v>4444</v>
      </c>
      <c r="V54" s="276">
        <v>4369</v>
      </c>
      <c r="W54" s="274">
        <v>3991</v>
      </c>
      <c r="X54" s="273">
        <v>4592</v>
      </c>
      <c r="Y54" s="273">
        <v>4691</v>
      </c>
      <c r="Z54" s="275">
        <v>4641</v>
      </c>
      <c r="AA54" s="275">
        <v>3640</v>
      </c>
      <c r="AB54" s="285"/>
      <c r="AC54" s="168">
        <v>3178</v>
      </c>
      <c r="AD54" s="168">
        <v>3074</v>
      </c>
      <c r="AE54" s="159">
        <v>3504</v>
      </c>
      <c r="AF54" s="159">
        <v>3593</v>
      </c>
      <c r="AG54" s="159">
        <v>3616</v>
      </c>
      <c r="AH54" s="158">
        <v>3879</v>
      </c>
      <c r="AI54" s="276">
        <v>4266</v>
      </c>
      <c r="AJ54" s="274">
        <v>4002</v>
      </c>
      <c r="AK54" s="273">
        <v>3706</v>
      </c>
      <c r="AL54" s="274">
        <v>4063</v>
      </c>
      <c r="AM54" s="274">
        <v>4070</v>
      </c>
      <c r="AN54" s="275"/>
    </row>
    <row r="55" spans="1:40" x14ac:dyDescent="0.25">
      <c r="A55" s="94"/>
      <c r="B55" s="94"/>
      <c r="C55" s="95"/>
      <c r="D55" s="138"/>
      <c r="E55" s="139"/>
      <c r="F55" s="139"/>
      <c r="G55" s="139"/>
      <c r="H55" s="139"/>
      <c r="I55" s="139"/>
      <c r="J55" s="126"/>
      <c r="K55" s="89"/>
      <c r="L55" s="98"/>
      <c r="M55" s="98"/>
      <c r="N55" s="98"/>
      <c r="P55" s="156"/>
      <c r="Q55" s="156"/>
      <c r="R55" s="156"/>
      <c r="S55" s="156"/>
      <c r="T55" s="156"/>
      <c r="U55" s="156"/>
      <c r="V55" s="273"/>
      <c r="W55" s="273"/>
      <c r="X55" s="273"/>
      <c r="Y55" s="273"/>
      <c r="Z55" s="273"/>
      <c r="AA55" s="273"/>
      <c r="AC55" s="156"/>
      <c r="AD55" s="156"/>
      <c r="AE55" s="156"/>
      <c r="AF55" s="156"/>
      <c r="AG55" s="156"/>
      <c r="AH55" s="156"/>
      <c r="AI55" s="273"/>
      <c r="AJ55" s="273"/>
      <c r="AK55" s="273"/>
      <c r="AL55" s="273"/>
      <c r="AM55" s="273"/>
      <c r="AN55" s="273"/>
    </row>
    <row r="56" spans="1:40" x14ac:dyDescent="0.25">
      <c r="A56" s="459" t="s">
        <v>116</v>
      </c>
      <c r="B56" s="75">
        <v>1</v>
      </c>
      <c r="C56" s="76" t="s">
        <v>117</v>
      </c>
      <c r="D56" s="89">
        <v>27</v>
      </c>
      <c r="E56" s="89">
        <v>27</v>
      </c>
      <c r="F56" s="89">
        <v>27</v>
      </c>
      <c r="G56" s="89">
        <v>27</v>
      </c>
      <c r="H56" s="89">
        <v>27</v>
      </c>
      <c r="I56" s="141">
        <v>27</v>
      </c>
      <c r="J56" s="126">
        <v>27</v>
      </c>
      <c r="K56" s="89">
        <v>27</v>
      </c>
      <c r="L56" s="89">
        <v>27</v>
      </c>
      <c r="M56" s="98">
        <v>27</v>
      </c>
      <c r="N56" s="98">
        <v>27</v>
      </c>
      <c r="P56" s="156">
        <v>27</v>
      </c>
      <c r="Q56" s="156">
        <v>27</v>
      </c>
      <c r="R56" s="156">
        <v>27</v>
      </c>
      <c r="S56" s="156">
        <v>27</v>
      </c>
      <c r="T56" s="156">
        <v>27</v>
      </c>
      <c r="U56" s="156">
        <v>27</v>
      </c>
      <c r="V56" s="273">
        <v>27</v>
      </c>
      <c r="W56" s="273">
        <v>27</v>
      </c>
      <c r="X56" s="273">
        <v>27</v>
      </c>
      <c r="Y56" s="273">
        <v>27</v>
      </c>
      <c r="Z56" s="273">
        <v>27</v>
      </c>
      <c r="AA56" s="273">
        <v>27</v>
      </c>
      <c r="AC56" s="158">
        <v>27</v>
      </c>
      <c r="AD56" s="156">
        <v>27</v>
      </c>
      <c r="AE56" s="170">
        <v>27</v>
      </c>
      <c r="AF56" s="156">
        <v>27</v>
      </c>
      <c r="AG56" s="156">
        <v>27</v>
      </c>
      <c r="AH56" s="156">
        <v>27</v>
      </c>
      <c r="AI56" s="273">
        <v>27</v>
      </c>
      <c r="AJ56" s="273">
        <v>27</v>
      </c>
      <c r="AK56" s="273">
        <v>27</v>
      </c>
      <c r="AL56" s="273">
        <v>27</v>
      </c>
      <c r="AM56" s="273">
        <v>27</v>
      </c>
      <c r="AN56" s="273"/>
    </row>
    <row r="57" spans="1:40" x14ac:dyDescent="0.25">
      <c r="A57" s="459"/>
      <c r="B57" s="75">
        <v>2</v>
      </c>
      <c r="C57" s="76" t="s">
        <v>118</v>
      </c>
      <c r="D57" s="89">
        <f>2368+7</f>
        <v>2375</v>
      </c>
      <c r="E57" s="89">
        <v>2379</v>
      </c>
      <c r="F57" s="89">
        <v>2388</v>
      </c>
      <c r="G57" s="89">
        <f>10+F57</f>
        <v>2398</v>
      </c>
      <c r="H57" s="89">
        <f>+G57+6</f>
        <v>2404</v>
      </c>
      <c r="I57" s="141">
        <f>+H57+8</f>
        <v>2412</v>
      </c>
      <c r="J57" s="126">
        <f>5+I57</f>
        <v>2417</v>
      </c>
      <c r="K57" s="89">
        <f>+J57+4</f>
        <v>2421</v>
      </c>
      <c r="L57" s="89">
        <f>+K57+6</f>
        <v>2427</v>
      </c>
      <c r="M57" s="98">
        <v>2427</v>
      </c>
      <c r="N57" s="98">
        <v>2428</v>
      </c>
      <c r="P57" s="156">
        <f>2428+4</f>
        <v>2432</v>
      </c>
      <c r="Q57" s="156">
        <f>+P57+8</f>
        <v>2440</v>
      </c>
      <c r="R57" s="156">
        <f>+Q57+6</f>
        <v>2446</v>
      </c>
      <c r="S57" s="156">
        <f>+R57+4</f>
        <v>2450</v>
      </c>
      <c r="T57" s="156">
        <f>+S57+12</f>
        <v>2462</v>
      </c>
      <c r="U57" s="156">
        <f>+T57+2</f>
        <v>2464</v>
      </c>
      <c r="V57" s="273">
        <f>11+U57</f>
        <v>2475</v>
      </c>
      <c r="W57" s="273">
        <f>+V57+10</f>
        <v>2485</v>
      </c>
      <c r="X57" s="273">
        <f>+W57+10</f>
        <v>2495</v>
      </c>
      <c r="Y57" s="273">
        <f>+X57+3</f>
        <v>2498</v>
      </c>
      <c r="Z57" s="273">
        <f>+Y57+3</f>
        <v>2501</v>
      </c>
      <c r="AA57" s="273">
        <f>+Z57+3</f>
        <v>2504</v>
      </c>
      <c r="AC57" s="158">
        <v>2525</v>
      </c>
      <c r="AD57" s="156">
        <v>2529</v>
      </c>
      <c r="AE57" s="170">
        <v>2535</v>
      </c>
      <c r="AF57" s="156">
        <v>2542</v>
      </c>
      <c r="AG57" s="156">
        <v>2571</v>
      </c>
      <c r="AH57" s="156">
        <v>2576</v>
      </c>
      <c r="AI57" s="273">
        <v>2581</v>
      </c>
      <c r="AJ57" s="273">
        <v>2584</v>
      </c>
      <c r="AK57" s="273">
        <f>+AJ57+14</f>
        <v>2598</v>
      </c>
      <c r="AL57" s="273">
        <f>+AK57+6</f>
        <v>2604</v>
      </c>
      <c r="AM57" s="273">
        <v>2321</v>
      </c>
      <c r="AN57" s="273"/>
    </row>
    <row r="58" spans="1:40" x14ac:dyDescent="0.25">
      <c r="A58" s="459"/>
      <c r="B58" s="75">
        <v>3</v>
      </c>
      <c r="C58" s="76" t="s">
        <v>119</v>
      </c>
      <c r="D58" s="89">
        <f>4656+14</f>
        <v>4670</v>
      </c>
      <c r="E58" s="89">
        <v>4679</v>
      </c>
      <c r="F58" s="89">
        <v>4694</v>
      </c>
      <c r="G58" s="89">
        <f>+F58+13</f>
        <v>4707</v>
      </c>
      <c r="H58" s="89">
        <f>+G58+14</f>
        <v>4721</v>
      </c>
      <c r="I58" s="141">
        <f>+H58+12</f>
        <v>4733</v>
      </c>
      <c r="J58" s="126">
        <f>+I58+9</f>
        <v>4742</v>
      </c>
      <c r="K58" s="89">
        <f>+J58+9</f>
        <v>4751</v>
      </c>
      <c r="L58" s="89">
        <f>+K58+19</f>
        <v>4770</v>
      </c>
      <c r="M58" s="98">
        <v>4770</v>
      </c>
      <c r="N58" s="98">
        <f>+M58+4</f>
        <v>4774</v>
      </c>
      <c r="P58" s="156">
        <f>+N58+12</f>
        <v>4786</v>
      </c>
      <c r="Q58" s="156">
        <f>+P58+13</f>
        <v>4799</v>
      </c>
      <c r="R58" s="156">
        <f>+Q58+9</f>
        <v>4808</v>
      </c>
      <c r="S58" s="156">
        <f>+R58+14</f>
        <v>4822</v>
      </c>
      <c r="T58" s="156">
        <f>+S58+21</f>
        <v>4843</v>
      </c>
      <c r="U58" s="156">
        <f>+T58+5</f>
        <v>4848</v>
      </c>
      <c r="V58" s="273">
        <f>+U58+21</f>
        <v>4869</v>
      </c>
      <c r="W58" s="273">
        <f>+V58+22</f>
        <v>4891</v>
      </c>
      <c r="X58" s="273">
        <f>+W58+4</f>
        <v>4895</v>
      </c>
      <c r="Y58" s="273">
        <f>+X58+10</f>
        <v>4905</v>
      </c>
      <c r="Z58" s="273">
        <f>+Y58+8</f>
        <v>4913</v>
      </c>
      <c r="AA58" s="273">
        <v>4942</v>
      </c>
      <c r="AC58" s="158">
        <v>4000</v>
      </c>
      <c r="AD58" s="156">
        <v>4008</v>
      </c>
      <c r="AE58" s="170">
        <v>4021</v>
      </c>
      <c r="AF58" s="156">
        <v>4028</v>
      </c>
      <c r="AG58" s="156">
        <v>4046</v>
      </c>
      <c r="AH58" s="156">
        <v>4051</v>
      </c>
      <c r="AI58" s="273">
        <v>4051</v>
      </c>
      <c r="AJ58" s="273">
        <v>4057</v>
      </c>
      <c r="AK58" s="273">
        <v>3988</v>
      </c>
      <c r="AL58" s="273">
        <v>4544</v>
      </c>
      <c r="AM58" s="273">
        <v>4321</v>
      </c>
      <c r="AN58" s="273"/>
    </row>
    <row r="59" spans="1:40" x14ac:dyDescent="0.25">
      <c r="A59" s="459"/>
      <c r="B59" s="75">
        <v>4</v>
      </c>
      <c r="C59" s="76" t="s">
        <v>120</v>
      </c>
      <c r="D59" s="89">
        <v>202</v>
      </c>
      <c r="E59" s="89">
        <v>201</v>
      </c>
      <c r="F59" s="89">
        <v>203</v>
      </c>
      <c r="G59" s="89">
        <v>202</v>
      </c>
      <c r="H59" s="89">
        <v>202</v>
      </c>
      <c r="I59" s="141">
        <v>202</v>
      </c>
      <c r="J59" s="126">
        <v>202</v>
      </c>
      <c r="K59" s="89">
        <v>204</v>
      </c>
      <c r="L59" s="89">
        <v>204</v>
      </c>
      <c r="M59" s="98">
        <v>204</v>
      </c>
      <c r="N59" s="98">
        <v>204</v>
      </c>
      <c r="O59" s="71">
        <f>+N58+N59+N60+N61+N62</f>
        <v>5326</v>
      </c>
      <c r="P59" s="156">
        <v>204</v>
      </c>
      <c r="Q59" s="156">
        <v>204</v>
      </c>
      <c r="R59" s="156">
        <v>204</v>
      </c>
      <c r="S59" s="156">
        <v>204</v>
      </c>
      <c r="T59" s="156">
        <v>203</v>
      </c>
      <c r="U59" s="156">
        <v>203</v>
      </c>
      <c r="V59" s="273">
        <v>203</v>
      </c>
      <c r="W59" s="273">
        <v>203</v>
      </c>
      <c r="X59" s="273">
        <v>203</v>
      </c>
      <c r="Y59" s="273">
        <v>203</v>
      </c>
      <c r="Z59" s="273">
        <v>203</v>
      </c>
      <c r="AA59" s="273">
        <v>196</v>
      </c>
      <c r="AC59" s="158">
        <v>196</v>
      </c>
      <c r="AD59" s="156">
        <v>196</v>
      </c>
      <c r="AE59" s="170">
        <v>196</v>
      </c>
      <c r="AF59" s="156">
        <v>196</v>
      </c>
      <c r="AG59" s="156">
        <v>196</v>
      </c>
      <c r="AH59" s="156">
        <v>196</v>
      </c>
      <c r="AI59" s="273">
        <v>196</v>
      </c>
      <c r="AJ59" s="273">
        <v>196</v>
      </c>
      <c r="AK59" s="273">
        <v>189</v>
      </c>
      <c r="AL59" s="273">
        <v>191</v>
      </c>
      <c r="AM59" s="273">
        <v>193</v>
      </c>
      <c r="AN59" s="273"/>
    </row>
    <row r="60" spans="1:40" x14ac:dyDescent="0.25">
      <c r="A60" s="459"/>
      <c r="B60" s="75">
        <v>5</v>
      </c>
      <c r="C60" s="76" t="s">
        <v>121</v>
      </c>
      <c r="D60" s="89">
        <v>11</v>
      </c>
      <c r="E60" s="89">
        <v>13</v>
      </c>
      <c r="F60" s="89">
        <v>13</v>
      </c>
      <c r="G60" s="89">
        <v>13</v>
      </c>
      <c r="H60" s="89">
        <v>13</v>
      </c>
      <c r="I60" s="141">
        <v>14</v>
      </c>
      <c r="J60" s="126">
        <v>14</v>
      </c>
      <c r="K60" s="89">
        <v>14</v>
      </c>
      <c r="L60" s="89">
        <v>14</v>
      </c>
      <c r="M60" s="98">
        <v>14</v>
      </c>
      <c r="N60" s="98">
        <v>14</v>
      </c>
      <c r="O60" s="71">
        <f>+O59*4</f>
        <v>21304</v>
      </c>
      <c r="P60" s="156">
        <v>14</v>
      </c>
      <c r="Q60" s="156">
        <v>14</v>
      </c>
      <c r="R60" s="156">
        <v>14</v>
      </c>
      <c r="S60" s="156">
        <v>14</v>
      </c>
      <c r="T60" s="156">
        <v>14</v>
      </c>
      <c r="U60" s="156">
        <v>14</v>
      </c>
      <c r="V60" s="273">
        <v>14</v>
      </c>
      <c r="W60" s="273">
        <v>14</v>
      </c>
      <c r="X60" s="273">
        <v>14</v>
      </c>
      <c r="Y60" s="273">
        <v>14</v>
      </c>
      <c r="Z60" s="273">
        <v>14</v>
      </c>
      <c r="AA60" s="273">
        <v>14</v>
      </c>
      <c r="AC60" s="158">
        <v>16</v>
      </c>
      <c r="AD60" s="156">
        <v>16</v>
      </c>
      <c r="AE60" s="170">
        <v>16</v>
      </c>
      <c r="AF60" s="156">
        <v>16</v>
      </c>
      <c r="AG60" s="156">
        <v>15</v>
      </c>
      <c r="AH60" s="156">
        <v>15</v>
      </c>
      <c r="AI60" s="273">
        <v>15</v>
      </c>
      <c r="AJ60" s="273">
        <v>15</v>
      </c>
      <c r="AK60" s="273">
        <v>15</v>
      </c>
      <c r="AL60" s="273">
        <v>16</v>
      </c>
      <c r="AM60" s="273">
        <v>16</v>
      </c>
      <c r="AN60" s="273"/>
    </row>
    <row r="61" spans="1:40" x14ac:dyDescent="0.25">
      <c r="A61" s="459"/>
      <c r="B61" s="75">
        <v>6</v>
      </c>
      <c r="C61" s="76" t="s">
        <v>122</v>
      </c>
      <c r="D61" s="89">
        <v>236</v>
      </c>
      <c r="E61" s="89">
        <v>234</v>
      </c>
      <c r="F61" s="89">
        <v>235</v>
      </c>
      <c r="G61" s="89">
        <v>235</v>
      </c>
      <c r="H61" s="89">
        <v>235</v>
      </c>
      <c r="I61" s="141">
        <v>235</v>
      </c>
      <c r="J61" s="126">
        <v>235</v>
      </c>
      <c r="K61" s="89">
        <v>247</v>
      </c>
      <c r="L61" s="89">
        <v>247</v>
      </c>
      <c r="M61" s="98">
        <v>247</v>
      </c>
      <c r="N61" s="98">
        <v>247</v>
      </c>
      <c r="P61" s="156">
        <v>247</v>
      </c>
      <c r="Q61" s="156">
        <v>247</v>
      </c>
      <c r="R61" s="156">
        <v>247</v>
      </c>
      <c r="S61" s="156">
        <v>247</v>
      </c>
      <c r="T61" s="156">
        <v>248</v>
      </c>
      <c r="U61" s="156">
        <v>248</v>
      </c>
      <c r="V61" s="273">
        <v>248</v>
      </c>
      <c r="W61" s="273">
        <v>248</v>
      </c>
      <c r="X61" s="273">
        <v>248</v>
      </c>
      <c r="Y61" s="273">
        <v>248</v>
      </c>
      <c r="Z61" s="273">
        <v>248</v>
      </c>
      <c r="AA61" s="273">
        <v>232</v>
      </c>
      <c r="AC61" s="158">
        <v>233</v>
      </c>
      <c r="AD61" s="156">
        <v>233</v>
      </c>
      <c r="AE61" s="170">
        <v>233</v>
      </c>
      <c r="AF61" s="156">
        <v>233</v>
      </c>
      <c r="AG61" s="156">
        <v>233</v>
      </c>
      <c r="AH61" s="156">
        <v>233</v>
      </c>
      <c r="AI61" s="273">
        <v>233</v>
      </c>
      <c r="AJ61" s="273">
        <v>233</v>
      </c>
      <c r="AK61" s="273">
        <v>253</v>
      </c>
      <c r="AL61" s="273">
        <v>261</v>
      </c>
      <c r="AM61" s="273">
        <v>261</v>
      </c>
      <c r="AN61" s="273"/>
    </row>
    <row r="62" spans="1:40" x14ac:dyDescent="0.25">
      <c r="A62" s="459"/>
      <c r="B62" s="75">
        <v>7</v>
      </c>
      <c r="C62" s="76" t="s">
        <v>123</v>
      </c>
      <c r="D62" s="89">
        <v>87</v>
      </c>
      <c r="E62" s="89">
        <v>88</v>
      </c>
      <c r="F62" s="89">
        <v>88</v>
      </c>
      <c r="G62" s="89">
        <v>88</v>
      </c>
      <c r="H62" s="89">
        <v>88</v>
      </c>
      <c r="I62" s="141">
        <v>88</v>
      </c>
      <c r="J62" s="126">
        <v>87</v>
      </c>
      <c r="K62" s="89">
        <v>87</v>
      </c>
      <c r="L62" s="89">
        <v>87</v>
      </c>
      <c r="M62" s="98">
        <v>87</v>
      </c>
      <c r="N62" s="98">
        <v>87</v>
      </c>
      <c r="O62" s="71">
        <f>+N62+N61</f>
        <v>334</v>
      </c>
      <c r="P62" s="156">
        <v>87</v>
      </c>
      <c r="Q62" s="156">
        <v>87</v>
      </c>
      <c r="R62" s="156">
        <v>87</v>
      </c>
      <c r="S62" s="156">
        <v>87</v>
      </c>
      <c r="T62" s="156">
        <v>87</v>
      </c>
      <c r="U62" s="156">
        <v>87</v>
      </c>
      <c r="V62" s="273">
        <v>87</v>
      </c>
      <c r="W62" s="273">
        <v>87</v>
      </c>
      <c r="X62" s="273">
        <v>87</v>
      </c>
      <c r="Y62" s="273">
        <v>87</v>
      </c>
      <c r="Z62" s="273">
        <v>87</v>
      </c>
      <c r="AA62" s="273">
        <v>87</v>
      </c>
      <c r="AC62" s="158">
        <v>89</v>
      </c>
      <c r="AD62" s="156">
        <v>89</v>
      </c>
      <c r="AE62" s="170">
        <v>89</v>
      </c>
      <c r="AF62" s="156">
        <v>89</v>
      </c>
      <c r="AG62" s="156">
        <v>89</v>
      </c>
      <c r="AH62" s="156">
        <v>89</v>
      </c>
      <c r="AI62" s="273">
        <v>89</v>
      </c>
      <c r="AJ62" s="273">
        <v>89</v>
      </c>
      <c r="AK62" s="273">
        <v>84</v>
      </c>
      <c r="AL62" s="273">
        <v>88</v>
      </c>
      <c r="AM62" s="273">
        <v>88</v>
      </c>
      <c r="AN62" s="273"/>
    </row>
    <row r="63" spans="1:40" x14ac:dyDescent="0.25">
      <c r="A63" s="459"/>
      <c r="B63" s="75">
        <v>8</v>
      </c>
      <c r="C63" s="76" t="s">
        <v>124</v>
      </c>
      <c r="D63" s="89">
        <v>4224</v>
      </c>
      <c r="E63" s="89">
        <v>4227</v>
      </c>
      <c r="F63" s="89">
        <v>4242</v>
      </c>
      <c r="G63" s="89">
        <f>+F63+13</f>
        <v>4255</v>
      </c>
      <c r="H63" s="89">
        <f>+G63+9</f>
        <v>4264</v>
      </c>
      <c r="I63" s="141">
        <v>4264</v>
      </c>
      <c r="J63" s="126">
        <v>4264</v>
      </c>
      <c r="K63" s="89">
        <v>4265</v>
      </c>
      <c r="L63" s="89">
        <f>+K63+13</f>
        <v>4278</v>
      </c>
      <c r="M63" s="98">
        <v>4278</v>
      </c>
      <c r="N63" s="98">
        <f>+M63+4</f>
        <v>4282</v>
      </c>
      <c r="P63" s="156">
        <f>+N63+12</f>
        <v>4294</v>
      </c>
      <c r="Q63" s="156">
        <f>+P63+13</f>
        <v>4307</v>
      </c>
      <c r="R63" s="156">
        <f>+Q63+9</f>
        <v>4316</v>
      </c>
      <c r="S63" s="156">
        <f>+R63+14</f>
        <v>4330</v>
      </c>
      <c r="T63" s="156">
        <v>4335</v>
      </c>
      <c r="U63" s="156">
        <v>4335</v>
      </c>
      <c r="V63" s="273">
        <f>+U63+21</f>
        <v>4356</v>
      </c>
      <c r="W63" s="273">
        <f>+V63+22</f>
        <v>4378</v>
      </c>
      <c r="X63" s="273">
        <f>+W63+3</f>
        <v>4381</v>
      </c>
      <c r="Y63" s="273">
        <f>+X63+10</f>
        <v>4391</v>
      </c>
      <c r="Z63" s="273">
        <f>+Y63+5</f>
        <v>4396</v>
      </c>
      <c r="AA63" s="273">
        <f>+Z63+8</f>
        <v>4404</v>
      </c>
      <c r="AC63" s="158">
        <v>4404</v>
      </c>
      <c r="AD63" s="156">
        <v>4409</v>
      </c>
      <c r="AE63" s="170">
        <v>4420</v>
      </c>
      <c r="AF63" s="156">
        <v>4425</v>
      </c>
      <c r="AG63" s="156">
        <v>4430</v>
      </c>
      <c r="AH63" s="156">
        <v>4435</v>
      </c>
      <c r="AI63" s="273">
        <v>4440</v>
      </c>
      <c r="AJ63" s="273">
        <v>4446</v>
      </c>
      <c r="AK63" s="273">
        <v>4529</v>
      </c>
      <c r="AL63" s="273">
        <v>5100</v>
      </c>
      <c r="AM63" s="273">
        <v>4879</v>
      </c>
      <c r="AN63" s="273"/>
    </row>
    <row r="64" spans="1:40" x14ac:dyDescent="0.25">
      <c r="A64" s="459"/>
      <c r="B64" s="75">
        <v>9</v>
      </c>
      <c r="C64" s="76" t="s">
        <v>125</v>
      </c>
      <c r="D64" s="89">
        <v>4085</v>
      </c>
      <c r="E64" s="89">
        <v>4133</v>
      </c>
      <c r="F64" s="89">
        <v>4148</v>
      </c>
      <c r="G64" s="89">
        <f>30+F64</f>
        <v>4178</v>
      </c>
      <c r="H64" s="89">
        <f>+G64+9</f>
        <v>4187</v>
      </c>
      <c r="I64" s="141">
        <f>+I65+I66+I67+I68+I69</f>
        <v>4175</v>
      </c>
      <c r="J64" s="126">
        <v>4154</v>
      </c>
      <c r="K64" s="89">
        <v>4155</v>
      </c>
      <c r="L64" s="89">
        <f>+K64+13</f>
        <v>4168</v>
      </c>
      <c r="M64" s="98">
        <v>4168</v>
      </c>
      <c r="N64" s="98">
        <f>+M64+4</f>
        <v>4172</v>
      </c>
      <c r="P64" s="156">
        <f>+N64+12</f>
        <v>4184</v>
      </c>
      <c r="Q64" s="156">
        <f>+P64+13</f>
        <v>4197</v>
      </c>
      <c r="R64" s="156">
        <f>+Q64+9</f>
        <v>4206</v>
      </c>
      <c r="S64" s="156">
        <f>+R64+14</f>
        <v>4220</v>
      </c>
      <c r="T64" s="156">
        <v>4225</v>
      </c>
      <c r="U64" s="156">
        <v>4225</v>
      </c>
      <c r="V64" s="273">
        <v>4236</v>
      </c>
      <c r="W64" s="273">
        <f>+V64+22</f>
        <v>4258</v>
      </c>
      <c r="X64" s="273">
        <f>+W64+3</f>
        <v>4261</v>
      </c>
      <c r="Y64" s="273">
        <f>+X64+10</f>
        <v>4271</v>
      </c>
      <c r="Z64" s="273">
        <f>+Y64+5</f>
        <v>4276</v>
      </c>
      <c r="AA64" s="273">
        <f>+Z64+8</f>
        <v>4284</v>
      </c>
      <c r="AB64" s="71">
        <f>+AA64+5</f>
        <v>4289</v>
      </c>
      <c r="AC64" s="158">
        <v>4284</v>
      </c>
      <c r="AD64" s="156">
        <v>4289</v>
      </c>
      <c r="AE64" s="170">
        <v>4300</v>
      </c>
      <c r="AF64" s="156">
        <v>4305</v>
      </c>
      <c r="AG64" s="156">
        <v>4310</v>
      </c>
      <c r="AH64" s="156">
        <v>4315</v>
      </c>
      <c r="AI64" s="273">
        <v>4320</v>
      </c>
      <c r="AJ64" s="273">
        <v>4326</v>
      </c>
      <c r="AK64" s="273">
        <v>4511</v>
      </c>
      <c r="AL64" s="273">
        <v>5093</v>
      </c>
      <c r="AM64" s="273">
        <v>4875</v>
      </c>
      <c r="AN64" s="273"/>
    </row>
    <row r="65" spans="1:40" x14ac:dyDescent="0.25">
      <c r="A65" s="459"/>
      <c r="B65" s="75">
        <v>10</v>
      </c>
      <c r="C65" s="76" t="s">
        <v>126</v>
      </c>
      <c r="D65" s="89">
        <v>3596</v>
      </c>
      <c r="E65" s="89">
        <v>3597</v>
      </c>
      <c r="F65" s="89">
        <v>3599</v>
      </c>
      <c r="G65" s="89">
        <f>+F65+28</f>
        <v>3627</v>
      </c>
      <c r="H65" s="89">
        <f>+G65+9</f>
        <v>3636</v>
      </c>
      <c r="I65" s="141">
        <v>3636</v>
      </c>
      <c r="J65" s="126">
        <v>3620</v>
      </c>
      <c r="K65" s="89">
        <v>3620</v>
      </c>
      <c r="L65" s="89">
        <f>+K65+13</f>
        <v>3633</v>
      </c>
      <c r="M65" s="98">
        <v>3633</v>
      </c>
      <c r="N65" s="98">
        <f>+M65+4</f>
        <v>3637</v>
      </c>
      <c r="P65" s="156">
        <f>+N65+12</f>
        <v>3649</v>
      </c>
      <c r="Q65" s="156">
        <f>+P65+13</f>
        <v>3662</v>
      </c>
      <c r="R65" s="156">
        <f>+Q65+9</f>
        <v>3671</v>
      </c>
      <c r="S65" s="156">
        <f>+R65+14</f>
        <v>3685</v>
      </c>
      <c r="T65" s="156">
        <v>3690</v>
      </c>
      <c r="U65" s="156">
        <v>3690</v>
      </c>
      <c r="V65" s="273">
        <f>+U65+10</f>
        <v>3700</v>
      </c>
      <c r="W65" s="273">
        <f>+V65+22</f>
        <v>3722</v>
      </c>
      <c r="X65" s="273">
        <f>+W65+3</f>
        <v>3725</v>
      </c>
      <c r="Y65" s="273">
        <f>+X65+10</f>
        <v>3735</v>
      </c>
      <c r="Z65" s="273">
        <f>+Y65+5</f>
        <v>3740</v>
      </c>
      <c r="AA65" s="273">
        <f>+Z65+8</f>
        <v>3748</v>
      </c>
      <c r="AC65" s="158">
        <f>+AA65+12</f>
        <v>3760</v>
      </c>
      <c r="AD65" s="156">
        <f>+AC65+16</f>
        <v>3776</v>
      </c>
      <c r="AE65" s="170">
        <f>+AD65+5</f>
        <v>3781</v>
      </c>
      <c r="AF65" s="156">
        <f>+AE65+19</f>
        <v>3800</v>
      </c>
      <c r="AG65" s="156">
        <f>+AF65+22</f>
        <v>3822</v>
      </c>
      <c r="AH65" s="156">
        <f>+AG65+8</f>
        <v>3830</v>
      </c>
      <c r="AI65" s="273">
        <v>3700</v>
      </c>
      <c r="AJ65" s="273">
        <v>3700</v>
      </c>
      <c r="AK65" s="273">
        <v>3970</v>
      </c>
      <c r="AL65" s="273">
        <v>4538</v>
      </c>
      <c r="AM65" s="273">
        <v>4319</v>
      </c>
      <c r="AN65" s="273"/>
    </row>
    <row r="66" spans="1:40" x14ac:dyDescent="0.25">
      <c r="A66" s="459"/>
      <c r="B66" s="75">
        <v>11</v>
      </c>
      <c r="C66" s="76" t="s">
        <v>127</v>
      </c>
      <c r="D66" s="89">
        <v>202</v>
      </c>
      <c r="E66" s="89">
        <v>201</v>
      </c>
      <c r="F66" s="89">
        <v>203</v>
      </c>
      <c r="G66" s="89">
        <v>202</v>
      </c>
      <c r="H66" s="89">
        <v>202</v>
      </c>
      <c r="I66" s="141">
        <v>202</v>
      </c>
      <c r="J66" s="126">
        <v>202</v>
      </c>
      <c r="K66" s="89">
        <v>204</v>
      </c>
      <c r="L66" s="89">
        <v>204</v>
      </c>
      <c r="M66" s="98">
        <v>204</v>
      </c>
      <c r="N66" s="98">
        <v>204</v>
      </c>
      <c r="P66" s="156">
        <v>204</v>
      </c>
      <c r="Q66" s="156">
        <v>204</v>
      </c>
      <c r="R66" s="156">
        <v>204</v>
      </c>
      <c r="S66" s="156">
        <v>204</v>
      </c>
      <c r="T66" s="156">
        <v>203</v>
      </c>
      <c r="U66" s="156">
        <v>203</v>
      </c>
      <c r="V66" s="273">
        <v>203</v>
      </c>
      <c r="W66" s="273">
        <v>203</v>
      </c>
      <c r="X66" s="273">
        <v>203</v>
      </c>
      <c r="Y66" s="273">
        <v>203</v>
      </c>
      <c r="Z66" s="273">
        <v>203</v>
      </c>
      <c r="AA66" s="273">
        <v>196</v>
      </c>
      <c r="AB66" s="71">
        <f>+AA66+AA67+AA68+AA69</f>
        <v>529</v>
      </c>
      <c r="AC66" s="158">
        <v>196</v>
      </c>
      <c r="AD66" s="156">
        <v>196</v>
      </c>
      <c r="AE66" s="170">
        <v>196</v>
      </c>
      <c r="AF66" s="156">
        <v>196</v>
      </c>
      <c r="AG66" s="156">
        <v>196</v>
      </c>
      <c r="AH66" s="156">
        <v>196</v>
      </c>
      <c r="AI66" s="273">
        <v>196</v>
      </c>
      <c r="AJ66" s="273">
        <v>196</v>
      </c>
      <c r="AK66" s="273">
        <v>189</v>
      </c>
      <c r="AL66" s="273">
        <v>191</v>
      </c>
      <c r="AM66" s="273">
        <v>193</v>
      </c>
      <c r="AN66" s="273"/>
    </row>
    <row r="67" spans="1:40" x14ac:dyDescent="0.25">
      <c r="A67" s="459"/>
      <c r="B67" s="75">
        <v>12</v>
      </c>
      <c r="C67" s="76" t="s">
        <v>128</v>
      </c>
      <c r="D67" s="89">
        <v>11</v>
      </c>
      <c r="E67" s="89">
        <v>13</v>
      </c>
      <c r="F67" s="89">
        <v>13</v>
      </c>
      <c r="G67" s="89">
        <v>12</v>
      </c>
      <c r="H67" s="89">
        <v>13</v>
      </c>
      <c r="I67" s="141">
        <v>14</v>
      </c>
      <c r="J67" s="126">
        <v>14</v>
      </c>
      <c r="K67" s="98">
        <v>14</v>
      </c>
      <c r="L67" s="98">
        <v>14</v>
      </c>
      <c r="M67" s="98">
        <v>14</v>
      </c>
      <c r="N67" s="98">
        <v>14</v>
      </c>
      <c r="P67" s="156">
        <v>14</v>
      </c>
      <c r="Q67" s="156">
        <v>14</v>
      </c>
      <c r="R67" s="156">
        <v>14</v>
      </c>
      <c r="S67" s="156">
        <v>14</v>
      </c>
      <c r="T67" s="156">
        <v>14</v>
      </c>
      <c r="U67" s="156">
        <v>14</v>
      </c>
      <c r="V67" s="273">
        <v>14</v>
      </c>
      <c r="W67" s="273">
        <v>14</v>
      </c>
      <c r="X67" s="273">
        <v>14</v>
      </c>
      <c r="Y67" s="273">
        <v>14</v>
      </c>
      <c r="Z67" s="273">
        <v>14</v>
      </c>
      <c r="AA67" s="273">
        <v>14</v>
      </c>
      <c r="AC67" s="158">
        <v>16</v>
      </c>
      <c r="AD67" s="156">
        <v>16</v>
      </c>
      <c r="AE67" s="170">
        <v>16</v>
      </c>
      <c r="AF67" s="156">
        <v>16</v>
      </c>
      <c r="AG67" s="156">
        <v>16</v>
      </c>
      <c r="AH67" s="156">
        <v>16</v>
      </c>
      <c r="AI67" s="273">
        <v>16</v>
      </c>
      <c r="AJ67" s="273">
        <v>16</v>
      </c>
      <c r="AK67" s="273">
        <v>15</v>
      </c>
      <c r="AL67" s="273">
        <v>16</v>
      </c>
      <c r="AM67" s="273">
        <v>16</v>
      </c>
      <c r="AN67" s="273"/>
    </row>
    <row r="68" spans="1:40" x14ac:dyDescent="0.25">
      <c r="A68" s="459"/>
      <c r="B68" s="75">
        <v>13</v>
      </c>
      <c r="C68" s="76" t="s">
        <v>129</v>
      </c>
      <c r="D68" s="89">
        <v>236</v>
      </c>
      <c r="E68" s="89">
        <v>234</v>
      </c>
      <c r="F68" s="89">
        <v>235</v>
      </c>
      <c r="G68" s="89">
        <v>235</v>
      </c>
      <c r="H68" s="89">
        <v>235</v>
      </c>
      <c r="I68" s="141">
        <v>235</v>
      </c>
      <c r="J68" s="126">
        <v>235</v>
      </c>
      <c r="K68" s="89">
        <v>247</v>
      </c>
      <c r="L68" s="89">
        <v>247</v>
      </c>
      <c r="M68" s="98">
        <v>247</v>
      </c>
      <c r="N68" s="98">
        <v>247</v>
      </c>
      <c r="P68" s="156">
        <v>247</v>
      </c>
      <c r="Q68" s="156">
        <v>247</v>
      </c>
      <c r="R68" s="156">
        <v>247</v>
      </c>
      <c r="S68" s="156">
        <v>247</v>
      </c>
      <c r="T68" s="156">
        <v>248</v>
      </c>
      <c r="U68" s="156">
        <v>248</v>
      </c>
      <c r="V68" s="273">
        <v>248</v>
      </c>
      <c r="W68" s="273">
        <v>248</v>
      </c>
      <c r="X68" s="273">
        <v>248</v>
      </c>
      <c r="Y68" s="273">
        <v>248</v>
      </c>
      <c r="Z68" s="273">
        <v>248</v>
      </c>
      <c r="AA68" s="273">
        <v>232</v>
      </c>
      <c r="AC68" s="158">
        <v>233</v>
      </c>
      <c r="AD68" s="156">
        <v>233</v>
      </c>
      <c r="AE68" s="170">
        <v>233</v>
      </c>
      <c r="AF68" s="156">
        <v>233</v>
      </c>
      <c r="AG68" s="156">
        <v>234</v>
      </c>
      <c r="AH68" s="156">
        <v>234</v>
      </c>
      <c r="AI68" s="273">
        <v>234</v>
      </c>
      <c r="AJ68" s="273">
        <v>234</v>
      </c>
      <c r="AK68" s="273">
        <v>253</v>
      </c>
      <c r="AL68" s="273">
        <v>261</v>
      </c>
      <c r="AM68" s="273">
        <v>261</v>
      </c>
      <c r="AN68" s="273"/>
    </row>
    <row r="69" spans="1:40" x14ac:dyDescent="0.25">
      <c r="A69" s="459"/>
      <c r="B69" s="75">
        <v>14</v>
      </c>
      <c r="C69" s="76" t="s">
        <v>130</v>
      </c>
      <c r="D69" s="89">
        <v>83</v>
      </c>
      <c r="E69" s="89">
        <v>88</v>
      </c>
      <c r="F69" s="89">
        <v>88</v>
      </c>
      <c r="G69" s="89">
        <v>88</v>
      </c>
      <c r="H69" s="89">
        <v>88</v>
      </c>
      <c r="I69" s="141">
        <v>88</v>
      </c>
      <c r="J69" s="126">
        <v>87</v>
      </c>
      <c r="K69" s="89">
        <v>87</v>
      </c>
      <c r="L69" s="89">
        <v>87</v>
      </c>
      <c r="M69" s="98">
        <v>87</v>
      </c>
      <c r="N69" s="98">
        <v>87</v>
      </c>
      <c r="P69" s="156">
        <v>87</v>
      </c>
      <c r="Q69" s="156">
        <v>87</v>
      </c>
      <c r="R69" s="156">
        <v>87</v>
      </c>
      <c r="S69" s="156">
        <v>87</v>
      </c>
      <c r="T69" s="156">
        <v>87</v>
      </c>
      <c r="U69" s="156">
        <v>87</v>
      </c>
      <c r="V69" s="273">
        <v>87</v>
      </c>
      <c r="W69" s="273">
        <v>87</v>
      </c>
      <c r="X69" s="273">
        <v>87</v>
      </c>
      <c r="Y69" s="273">
        <v>87</v>
      </c>
      <c r="Z69" s="273">
        <v>87</v>
      </c>
      <c r="AA69" s="273">
        <v>87</v>
      </c>
      <c r="AC69" s="158">
        <v>89</v>
      </c>
      <c r="AD69" s="156">
        <v>89</v>
      </c>
      <c r="AE69" s="170">
        <v>89</v>
      </c>
      <c r="AF69" s="156">
        <v>89</v>
      </c>
      <c r="AG69" s="156">
        <v>89</v>
      </c>
      <c r="AH69" s="156">
        <v>89</v>
      </c>
      <c r="AI69" s="273">
        <v>89</v>
      </c>
      <c r="AJ69" s="273">
        <v>89</v>
      </c>
      <c r="AK69" s="273">
        <v>84</v>
      </c>
      <c r="AL69" s="273">
        <v>87</v>
      </c>
      <c r="AM69" s="273">
        <v>86</v>
      </c>
      <c r="AN69" s="273"/>
    </row>
    <row r="70" spans="1:40" x14ac:dyDescent="0.25">
      <c r="A70" s="459"/>
      <c r="B70" s="75">
        <v>15</v>
      </c>
      <c r="C70" s="76" t="s">
        <v>131</v>
      </c>
      <c r="D70" s="89">
        <f>3125+9</f>
        <v>3134</v>
      </c>
      <c r="E70" s="89">
        <v>3138</v>
      </c>
      <c r="F70" s="89">
        <v>3141</v>
      </c>
      <c r="G70" s="89">
        <f>+F70+1</f>
        <v>3142</v>
      </c>
      <c r="H70" s="89">
        <f>+G70+1</f>
        <v>3143</v>
      </c>
      <c r="I70" s="141">
        <f>+H70+2</f>
        <v>3145</v>
      </c>
      <c r="J70" s="126">
        <f>+I70+4</f>
        <v>3149</v>
      </c>
      <c r="K70" s="89">
        <f>+J70+3</f>
        <v>3152</v>
      </c>
      <c r="L70" s="89">
        <f>+K70+3</f>
        <v>3155</v>
      </c>
      <c r="M70" s="98">
        <v>3155</v>
      </c>
      <c r="N70" s="98">
        <v>3155</v>
      </c>
      <c r="P70" s="156">
        <f>+N70+4</f>
        <v>3159</v>
      </c>
      <c r="Q70" s="156">
        <f>+P70+5</f>
        <v>3164</v>
      </c>
      <c r="R70" s="156">
        <f>+Q70+3</f>
        <v>3167</v>
      </c>
      <c r="S70" s="156">
        <f>+R70+7</f>
        <v>3174</v>
      </c>
      <c r="T70" s="156">
        <f>+S70+5</f>
        <v>3179</v>
      </c>
      <c r="U70" s="156">
        <f>+T70+9</f>
        <v>3188</v>
      </c>
      <c r="V70" s="273">
        <f>+U70+3</f>
        <v>3191</v>
      </c>
      <c r="W70" s="273">
        <f>+V70+11</f>
        <v>3202</v>
      </c>
      <c r="X70" s="273">
        <f>+W70+8</f>
        <v>3210</v>
      </c>
      <c r="Y70" s="273">
        <f>+X70+15</f>
        <v>3225</v>
      </c>
      <c r="Z70" s="273">
        <f>+Y70+15</f>
        <v>3240</v>
      </c>
      <c r="AA70" s="273">
        <f>+Z70+1</f>
        <v>3241</v>
      </c>
      <c r="AC70" s="158">
        <v>3232</v>
      </c>
      <c r="AD70" s="156">
        <v>3233</v>
      </c>
      <c r="AE70" s="170">
        <v>3241</v>
      </c>
      <c r="AF70" s="156">
        <v>3243</v>
      </c>
      <c r="AG70" s="156">
        <v>3242</v>
      </c>
      <c r="AH70" s="156">
        <v>3244</v>
      </c>
      <c r="AI70" s="273">
        <v>3249</v>
      </c>
      <c r="AJ70" s="273">
        <v>3251</v>
      </c>
      <c r="AK70" s="273">
        <v>2478</v>
      </c>
      <c r="AL70" s="273">
        <v>2891</v>
      </c>
      <c r="AM70" s="273">
        <v>2668</v>
      </c>
      <c r="AN70" s="273"/>
    </row>
    <row r="71" spans="1:40" x14ac:dyDescent="0.25">
      <c r="A71" s="459"/>
      <c r="B71" s="75">
        <v>16</v>
      </c>
      <c r="C71" s="76" t="s">
        <v>132</v>
      </c>
      <c r="D71" s="89">
        <v>200</v>
      </c>
      <c r="E71" s="89">
        <v>200</v>
      </c>
      <c r="F71" s="89">
        <v>201</v>
      </c>
      <c r="G71" s="89">
        <v>202</v>
      </c>
      <c r="H71" s="89">
        <v>202</v>
      </c>
      <c r="I71" s="141">
        <v>202</v>
      </c>
      <c r="J71" s="141">
        <v>202</v>
      </c>
      <c r="K71" s="89">
        <v>202</v>
      </c>
      <c r="L71" s="89">
        <v>202</v>
      </c>
      <c r="M71" s="98">
        <v>202</v>
      </c>
      <c r="N71" s="98">
        <v>202</v>
      </c>
      <c r="P71" s="156">
        <v>202</v>
      </c>
      <c r="Q71" s="156">
        <v>202</v>
      </c>
      <c r="R71" s="156">
        <v>202</v>
      </c>
      <c r="S71" s="156">
        <v>202</v>
      </c>
      <c r="T71" s="156">
        <v>202</v>
      </c>
      <c r="U71" s="156">
        <v>202</v>
      </c>
      <c r="V71" s="273">
        <v>202</v>
      </c>
      <c r="W71" s="273">
        <v>202</v>
      </c>
      <c r="X71" s="273">
        <v>202</v>
      </c>
      <c r="Y71" s="273">
        <v>202</v>
      </c>
      <c r="Z71" s="273">
        <v>202</v>
      </c>
      <c r="AA71" s="273">
        <v>196</v>
      </c>
      <c r="AB71" s="71">
        <f>+AA71+AA72+AA73</f>
        <v>442</v>
      </c>
      <c r="AC71" s="158">
        <v>196</v>
      </c>
      <c r="AD71" s="156">
        <v>196</v>
      </c>
      <c r="AE71" s="170">
        <v>196</v>
      </c>
      <c r="AF71" s="156">
        <v>196</v>
      </c>
      <c r="AG71" s="156">
        <v>196</v>
      </c>
      <c r="AH71" s="156">
        <v>196</v>
      </c>
      <c r="AI71" s="273">
        <v>196</v>
      </c>
      <c r="AJ71" s="273">
        <v>196</v>
      </c>
      <c r="AK71" s="273">
        <v>172</v>
      </c>
      <c r="AL71" s="273">
        <v>174</v>
      </c>
      <c r="AM71" s="273">
        <v>175</v>
      </c>
      <c r="AN71" s="273"/>
    </row>
    <row r="72" spans="1:40" x14ac:dyDescent="0.25">
      <c r="A72" s="459"/>
      <c r="B72" s="75">
        <v>17</v>
      </c>
      <c r="C72" s="76" t="s">
        <v>133</v>
      </c>
      <c r="D72" s="89">
        <v>11</v>
      </c>
      <c r="E72" s="89">
        <v>11</v>
      </c>
      <c r="F72" s="89">
        <v>11</v>
      </c>
      <c r="G72" s="89">
        <v>13</v>
      </c>
      <c r="H72" s="89">
        <v>13</v>
      </c>
      <c r="I72" s="141">
        <v>13</v>
      </c>
      <c r="J72" s="141">
        <v>13</v>
      </c>
      <c r="K72" s="89">
        <v>13</v>
      </c>
      <c r="L72" s="89">
        <v>13</v>
      </c>
      <c r="M72" s="98">
        <v>13</v>
      </c>
      <c r="N72" s="98">
        <v>13</v>
      </c>
      <c r="P72" s="156">
        <v>13</v>
      </c>
      <c r="Q72" s="156">
        <v>13</v>
      </c>
      <c r="R72" s="156">
        <v>13</v>
      </c>
      <c r="S72" s="156">
        <v>13</v>
      </c>
      <c r="T72" s="156">
        <v>13</v>
      </c>
      <c r="U72" s="156">
        <v>13</v>
      </c>
      <c r="V72" s="273">
        <v>13</v>
      </c>
      <c r="W72" s="273">
        <v>13</v>
      </c>
      <c r="X72" s="273">
        <v>13</v>
      </c>
      <c r="Y72" s="273">
        <v>13</v>
      </c>
      <c r="Z72" s="273">
        <v>13</v>
      </c>
      <c r="AA72" s="273">
        <v>14</v>
      </c>
      <c r="AC72" s="158">
        <v>14</v>
      </c>
      <c r="AD72" s="156">
        <v>14</v>
      </c>
      <c r="AE72" s="170">
        <v>14</v>
      </c>
      <c r="AF72" s="156">
        <v>14</v>
      </c>
      <c r="AG72" s="156">
        <v>14</v>
      </c>
      <c r="AH72" s="156">
        <v>14</v>
      </c>
      <c r="AI72" s="273">
        <v>14</v>
      </c>
      <c r="AJ72" s="273">
        <v>14</v>
      </c>
      <c r="AK72" s="273">
        <v>13</v>
      </c>
      <c r="AL72" s="273">
        <v>13</v>
      </c>
      <c r="AM72" s="273">
        <v>13</v>
      </c>
      <c r="AN72" s="273"/>
    </row>
    <row r="73" spans="1:40" x14ac:dyDescent="0.25">
      <c r="A73" s="459"/>
      <c r="B73" s="75">
        <v>18</v>
      </c>
      <c r="C73" s="76" t="s">
        <v>134</v>
      </c>
      <c r="D73" s="89">
        <v>236</v>
      </c>
      <c r="E73" s="89">
        <v>236</v>
      </c>
      <c r="F73" s="89">
        <v>236</v>
      </c>
      <c r="G73" s="89">
        <v>235</v>
      </c>
      <c r="H73" s="89">
        <v>235</v>
      </c>
      <c r="I73" s="141">
        <v>235</v>
      </c>
      <c r="J73" s="141">
        <v>235</v>
      </c>
      <c r="K73" s="89">
        <v>247</v>
      </c>
      <c r="L73" s="89">
        <v>247</v>
      </c>
      <c r="M73" s="98">
        <v>247</v>
      </c>
      <c r="N73" s="98">
        <v>247</v>
      </c>
      <c r="P73" s="156">
        <v>247</v>
      </c>
      <c r="Q73" s="156">
        <v>247</v>
      </c>
      <c r="R73" s="156">
        <v>247</v>
      </c>
      <c r="S73" s="156">
        <v>247</v>
      </c>
      <c r="T73" s="156">
        <v>247</v>
      </c>
      <c r="U73" s="156">
        <v>247</v>
      </c>
      <c r="V73" s="273">
        <v>247</v>
      </c>
      <c r="W73" s="273">
        <v>247</v>
      </c>
      <c r="X73" s="273">
        <v>247</v>
      </c>
      <c r="Y73" s="273">
        <v>247</v>
      </c>
      <c r="Z73" s="273">
        <v>247</v>
      </c>
      <c r="AA73" s="273">
        <v>232</v>
      </c>
      <c r="AC73" s="158">
        <v>233</v>
      </c>
      <c r="AD73" s="156">
        <v>233</v>
      </c>
      <c r="AE73" s="170">
        <v>233</v>
      </c>
      <c r="AF73" s="156">
        <v>233</v>
      </c>
      <c r="AG73" s="156">
        <v>233</v>
      </c>
      <c r="AH73" s="156">
        <v>233</v>
      </c>
      <c r="AI73" s="273">
        <v>233</v>
      </c>
      <c r="AJ73" s="273">
        <v>233</v>
      </c>
      <c r="AK73" s="273">
        <v>221</v>
      </c>
      <c r="AL73" s="273">
        <v>227</v>
      </c>
      <c r="AM73" s="273">
        <v>227</v>
      </c>
      <c r="AN73" s="273"/>
    </row>
    <row r="74" spans="1:40" x14ac:dyDescent="0.25">
      <c r="A74" s="459"/>
      <c r="B74" s="75">
        <v>19</v>
      </c>
      <c r="C74" s="76" t="s">
        <v>135</v>
      </c>
      <c r="D74" s="89">
        <v>44</v>
      </c>
      <c r="E74" s="89">
        <v>44</v>
      </c>
      <c r="F74" s="89">
        <v>44</v>
      </c>
      <c r="G74" s="89">
        <v>44</v>
      </c>
      <c r="H74" s="89">
        <v>44</v>
      </c>
      <c r="I74" s="141">
        <v>44</v>
      </c>
      <c r="J74" s="141">
        <v>44</v>
      </c>
      <c r="K74" s="89">
        <v>44</v>
      </c>
      <c r="L74" s="89">
        <v>44</v>
      </c>
      <c r="M74" s="98">
        <v>44</v>
      </c>
      <c r="N74" s="98">
        <v>44</v>
      </c>
      <c r="P74" s="156">
        <v>44</v>
      </c>
      <c r="Q74" s="156">
        <v>44</v>
      </c>
      <c r="R74" s="156">
        <v>44</v>
      </c>
      <c r="S74" s="156">
        <v>44</v>
      </c>
      <c r="T74" s="156">
        <v>44</v>
      </c>
      <c r="U74" s="156">
        <v>44</v>
      </c>
      <c r="V74" s="273">
        <v>44</v>
      </c>
      <c r="W74" s="273">
        <v>44</v>
      </c>
      <c r="X74" s="273">
        <v>44</v>
      </c>
      <c r="Y74" s="273">
        <v>44</v>
      </c>
      <c r="Z74" s="273">
        <v>44</v>
      </c>
      <c r="AA74" s="273">
        <v>44</v>
      </c>
      <c r="AC74" s="158">
        <v>44</v>
      </c>
      <c r="AD74" s="156">
        <v>44</v>
      </c>
      <c r="AE74" s="170">
        <v>44</v>
      </c>
      <c r="AF74" s="156">
        <v>44</v>
      </c>
      <c r="AG74" s="156">
        <v>44</v>
      </c>
      <c r="AH74" s="156">
        <v>44</v>
      </c>
      <c r="AI74" s="273">
        <v>44</v>
      </c>
      <c r="AJ74" s="273">
        <v>44</v>
      </c>
      <c r="AK74" s="273">
        <v>53</v>
      </c>
      <c r="AL74" s="273">
        <v>53</v>
      </c>
      <c r="AM74" s="273">
        <v>53</v>
      </c>
      <c r="AN74" s="273"/>
    </row>
    <row r="75" spans="1:40" x14ac:dyDescent="0.25">
      <c r="A75" s="459"/>
      <c r="B75" s="75">
        <v>20</v>
      </c>
      <c r="C75" s="76" t="s">
        <v>136</v>
      </c>
      <c r="D75" s="106">
        <v>1071062.7299999925</v>
      </c>
      <c r="E75" s="89">
        <v>527687</v>
      </c>
      <c r="F75" s="89">
        <v>542490</v>
      </c>
      <c r="G75" s="102">
        <v>558976</v>
      </c>
      <c r="H75" s="89">
        <v>560027</v>
      </c>
      <c r="I75" s="141">
        <v>573603</v>
      </c>
      <c r="J75" s="126">
        <v>504460</v>
      </c>
      <c r="K75" s="89">
        <v>537767</v>
      </c>
      <c r="L75" s="89">
        <v>550117</v>
      </c>
      <c r="M75" s="98">
        <v>496804</v>
      </c>
      <c r="N75" s="98">
        <v>540356</v>
      </c>
      <c r="O75" s="100">
        <f>SUM(D75:N75)</f>
        <v>6463349.729999993</v>
      </c>
      <c r="P75" s="156">
        <v>453566</v>
      </c>
      <c r="Q75" s="156">
        <v>618455</v>
      </c>
      <c r="R75" s="156">
        <v>640001</v>
      </c>
      <c r="S75" s="156">
        <v>656987</v>
      </c>
      <c r="T75" s="156">
        <v>675051</v>
      </c>
      <c r="U75" s="156">
        <v>649389</v>
      </c>
      <c r="V75" s="273">
        <v>583796</v>
      </c>
      <c r="W75" s="273">
        <v>660410</v>
      </c>
      <c r="X75" s="273">
        <v>622226</v>
      </c>
      <c r="Y75" s="273">
        <v>598330</v>
      </c>
      <c r="Z75" s="273">
        <f>521173+81810</f>
        <v>602983</v>
      </c>
      <c r="AA75" s="273">
        <v>601689</v>
      </c>
      <c r="AC75" s="158">
        <v>543737</v>
      </c>
      <c r="AD75" s="156">
        <v>742284</v>
      </c>
      <c r="AE75" s="170">
        <v>699316</v>
      </c>
      <c r="AF75" s="156">
        <v>704956</v>
      </c>
      <c r="AG75" s="156">
        <v>758403</v>
      </c>
      <c r="AH75" s="156">
        <v>7559</v>
      </c>
      <c r="AI75" s="273">
        <v>728602</v>
      </c>
      <c r="AJ75" s="273">
        <v>773983</v>
      </c>
      <c r="AK75" s="273">
        <v>650349</v>
      </c>
      <c r="AL75" s="273">
        <v>715069</v>
      </c>
      <c r="AM75" s="273">
        <v>709849</v>
      </c>
      <c r="AN75" s="273"/>
    </row>
    <row r="76" spans="1:40" x14ac:dyDescent="0.25">
      <c r="A76" s="459"/>
      <c r="B76" s="75">
        <v>21</v>
      </c>
      <c r="C76" s="76" t="s">
        <v>137</v>
      </c>
      <c r="D76" s="106">
        <v>36441.959999999788</v>
      </c>
      <c r="E76" s="89">
        <v>16487</v>
      </c>
      <c r="F76" s="89">
        <v>16249</v>
      </c>
      <c r="G76" s="102">
        <v>17157</v>
      </c>
      <c r="H76" s="89">
        <f>14052+1845</f>
        <v>15897</v>
      </c>
      <c r="I76" s="141">
        <v>17654</v>
      </c>
      <c r="J76" s="126">
        <v>17191</v>
      </c>
      <c r="K76" s="89">
        <v>16680</v>
      </c>
      <c r="L76" s="89">
        <v>12779</v>
      </c>
      <c r="M76" s="98">
        <v>14732</v>
      </c>
      <c r="N76" s="98">
        <v>16499</v>
      </c>
      <c r="O76" s="101"/>
      <c r="P76" s="156">
        <v>17463</v>
      </c>
      <c r="Q76" s="156">
        <v>19032</v>
      </c>
      <c r="R76" s="156">
        <v>19587</v>
      </c>
      <c r="S76" s="156">
        <v>21098</v>
      </c>
      <c r="T76" s="156">
        <v>20606</v>
      </c>
      <c r="U76" s="156">
        <v>20243</v>
      </c>
      <c r="V76" s="273">
        <v>18421</v>
      </c>
      <c r="W76" s="273">
        <v>20271</v>
      </c>
      <c r="X76" s="273">
        <v>19211</v>
      </c>
      <c r="Y76" s="273">
        <v>18531</v>
      </c>
      <c r="Z76" s="273">
        <f>17973+2912</f>
        <v>20885</v>
      </c>
      <c r="AA76" s="273">
        <v>19236</v>
      </c>
      <c r="AC76" s="158">
        <v>16833</v>
      </c>
      <c r="AD76" s="156">
        <v>39103</v>
      </c>
      <c r="AE76" s="170">
        <v>21319</v>
      </c>
      <c r="AF76" s="156">
        <v>21177</v>
      </c>
      <c r="AG76" s="156">
        <v>22196</v>
      </c>
      <c r="AH76" s="156">
        <v>24372</v>
      </c>
      <c r="AI76" s="273">
        <v>22687</v>
      </c>
      <c r="AJ76" s="273">
        <v>20086</v>
      </c>
      <c r="AK76" s="273">
        <v>20051</v>
      </c>
      <c r="AL76" s="273">
        <v>21568</v>
      </c>
      <c r="AM76" s="273">
        <v>21835</v>
      </c>
      <c r="AN76" s="273"/>
    </row>
    <row r="77" spans="1:40" x14ac:dyDescent="0.2">
      <c r="A77" s="459"/>
      <c r="B77" s="75">
        <v>22</v>
      </c>
      <c r="C77" s="76" t="s">
        <v>138</v>
      </c>
      <c r="D77" s="106">
        <v>72262.350000000442</v>
      </c>
      <c r="E77" s="89">
        <v>32603</v>
      </c>
      <c r="F77" s="89">
        <v>32187</v>
      </c>
      <c r="G77" s="102">
        <v>34135</v>
      </c>
      <c r="H77" s="89">
        <f>27928+3010</f>
        <v>30938</v>
      </c>
      <c r="I77" s="141">
        <v>35194</v>
      </c>
      <c r="J77" s="126">
        <v>34349</v>
      </c>
      <c r="K77" s="89">
        <v>33280</v>
      </c>
      <c r="L77" s="89">
        <v>35145</v>
      </c>
      <c r="M77" s="98">
        <v>29377</v>
      </c>
      <c r="N77" s="98">
        <v>32938</v>
      </c>
      <c r="O77" s="101"/>
      <c r="P77" s="156">
        <v>34851</v>
      </c>
      <c r="Q77" s="169">
        <v>38024</v>
      </c>
      <c r="R77" s="156">
        <v>40639</v>
      </c>
      <c r="S77" s="156">
        <v>42098</v>
      </c>
      <c r="T77" s="156">
        <v>42607</v>
      </c>
      <c r="U77" s="156">
        <v>41921</v>
      </c>
      <c r="V77" s="273">
        <v>38574</v>
      </c>
      <c r="W77" s="273">
        <v>42147</v>
      </c>
      <c r="X77" s="273">
        <v>40057</v>
      </c>
      <c r="Y77" s="273">
        <v>38939</v>
      </c>
      <c r="Z77" s="273">
        <f>34366+5833</f>
        <v>40199</v>
      </c>
      <c r="AA77" s="273">
        <v>36831</v>
      </c>
      <c r="AC77" s="158">
        <v>31922</v>
      </c>
      <c r="AD77" s="169">
        <v>32055</v>
      </c>
      <c r="AE77" s="170">
        <v>42808</v>
      </c>
      <c r="AF77" s="156">
        <v>9565</v>
      </c>
      <c r="AG77" s="156">
        <v>35028</v>
      </c>
      <c r="AH77" s="156">
        <v>8672</v>
      </c>
      <c r="AI77" s="273">
        <v>45233</v>
      </c>
      <c r="AJ77" s="273">
        <v>39868</v>
      </c>
      <c r="AK77" s="273">
        <v>40064</v>
      </c>
      <c r="AL77" s="273">
        <v>43096</v>
      </c>
      <c r="AM77" s="273">
        <v>43659</v>
      </c>
      <c r="AN77" s="273"/>
    </row>
    <row r="78" spans="1:40" x14ac:dyDescent="0.25">
      <c r="A78" s="459"/>
      <c r="B78" s="75">
        <v>23</v>
      </c>
      <c r="C78" s="76" t="s">
        <v>139</v>
      </c>
      <c r="D78" s="106">
        <v>63750.48000000004</v>
      </c>
      <c r="E78" s="89">
        <v>34907</v>
      </c>
      <c r="F78" s="89">
        <v>32755</v>
      </c>
      <c r="G78" s="102">
        <v>33578</v>
      </c>
      <c r="H78" s="89">
        <v>31198</v>
      </c>
      <c r="I78" s="141">
        <v>32023</v>
      </c>
      <c r="J78" s="126">
        <v>32721</v>
      </c>
      <c r="K78" s="89">
        <v>32150</v>
      </c>
      <c r="L78" s="89">
        <v>33974</v>
      </c>
      <c r="M78" s="98">
        <v>28741</v>
      </c>
      <c r="N78" s="98">
        <v>30244</v>
      </c>
      <c r="O78" s="100">
        <f>SUM(D78:N78)</f>
        <v>386041.48000000004</v>
      </c>
      <c r="P78" s="156">
        <v>29994</v>
      </c>
      <c r="Q78" s="156">
        <v>34960</v>
      </c>
      <c r="R78" s="156">
        <v>34645</v>
      </c>
      <c r="S78" s="156">
        <v>35098</v>
      </c>
      <c r="T78" s="156">
        <v>37146</v>
      </c>
      <c r="U78" s="156">
        <v>40563</v>
      </c>
      <c r="V78" s="273">
        <v>36993</v>
      </c>
      <c r="W78" s="273">
        <v>40376</v>
      </c>
      <c r="X78" s="273">
        <v>40794</v>
      </c>
      <c r="Y78" s="273">
        <v>36349</v>
      </c>
      <c r="Z78" s="273">
        <v>39555</v>
      </c>
      <c r="AA78" s="273">
        <v>37501</v>
      </c>
      <c r="AC78" s="158">
        <v>36346</v>
      </c>
      <c r="AD78" s="156">
        <v>32221</v>
      </c>
      <c r="AE78" s="170">
        <v>41526</v>
      </c>
      <c r="AF78" s="156">
        <v>40658</v>
      </c>
      <c r="AG78" s="156">
        <v>43085</v>
      </c>
      <c r="AH78" s="156">
        <v>46026</v>
      </c>
      <c r="AI78" s="273">
        <v>44899</v>
      </c>
      <c r="AJ78" s="273">
        <v>49837</v>
      </c>
      <c r="AK78" s="273">
        <v>45597</v>
      </c>
      <c r="AL78" s="273">
        <v>44965</v>
      </c>
      <c r="AM78" s="273">
        <v>48682</v>
      </c>
      <c r="AN78" s="273"/>
    </row>
    <row r="79" spans="1:40" x14ac:dyDescent="0.25">
      <c r="A79" s="459"/>
      <c r="B79" s="75">
        <v>24</v>
      </c>
      <c r="C79" s="76" t="s">
        <v>140</v>
      </c>
      <c r="D79" s="106">
        <v>3168.9600000000009</v>
      </c>
      <c r="E79" s="89">
        <v>1572</v>
      </c>
      <c r="F79" s="89">
        <v>1482</v>
      </c>
      <c r="G79" s="102">
        <v>1439</v>
      </c>
      <c r="H79" s="89">
        <v>1357</v>
      </c>
      <c r="I79" s="141">
        <v>1412</v>
      </c>
      <c r="J79" s="126">
        <v>1356</v>
      </c>
      <c r="K79" s="89">
        <v>1366</v>
      </c>
      <c r="L79" s="89">
        <v>1045</v>
      </c>
      <c r="M79" s="98">
        <v>1376</v>
      </c>
      <c r="N79" s="98">
        <v>1437</v>
      </c>
      <c r="O79" s="101"/>
      <c r="P79" s="156">
        <v>1479</v>
      </c>
      <c r="Q79" s="156">
        <v>1637</v>
      </c>
      <c r="R79" s="156">
        <v>1595</v>
      </c>
      <c r="S79" s="156">
        <v>1687</v>
      </c>
      <c r="T79" s="156">
        <v>1568</v>
      </c>
      <c r="U79" s="156">
        <v>1730</v>
      </c>
      <c r="V79" s="273">
        <v>1635</v>
      </c>
      <c r="W79" s="273">
        <v>1698</v>
      </c>
      <c r="X79" s="273">
        <v>1666</v>
      </c>
      <c r="Y79" s="273">
        <v>1680</v>
      </c>
      <c r="Z79" s="273">
        <v>1693</v>
      </c>
      <c r="AA79" s="273">
        <v>1653</v>
      </c>
      <c r="AC79" s="158">
        <v>1603</v>
      </c>
      <c r="AD79" s="156">
        <v>1806</v>
      </c>
      <c r="AE79" s="170">
        <v>1830</v>
      </c>
      <c r="AF79" s="156">
        <v>1805</v>
      </c>
      <c r="AG79" s="156">
        <v>1896</v>
      </c>
      <c r="AH79" s="156">
        <v>2035</v>
      </c>
      <c r="AI79" s="273">
        <v>1817</v>
      </c>
      <c r="AJ79" s="273">
        <v>2301</v>
      </c>
      <c r="AK79" s="273">
        <v>1943</v>
      </c>
      <c r="AL79" s="273">
        <v>1877</v>
      </c>
      <c r="AM79" s="273">
        <v>2014</v>
      </c>
      <c r="AN79" s="273"/>
    </row>
    <row r="80" spans="1:40" x14ac:dyDescent="0.25">
      <c r="A80" s="459"/>
      <c r="B80" s="75">
        <v>25</v>
      </c>
      <c r="C80" s="76" t="s">
        <v>141</v>
      </c>
      <c r="D80" s="106">
        <v>7178.2899999999881</v>
      </c>
      <c r="E80" s="89">
        <v>3139</v>
      </c>
      <c r="F80" s="89">
        <v>3090</v>
      </c>
      <c r="G80" s="102">
        <v>3016</v>
      </c>
      <c r="H80" s="89">
        <v>2840</v>
      </c>
      <c r="I80" s="141">
        <v>2965</v>
      </c>
      <c r="J80" s="126">
        <v>2838</v>
      </c>
      <c r="K80" s="89">
        <v>2864</v>
      </c>
      <c r="L80" s="89">
        <v>3201</v>
      </c>
      <c r="M80" s="98">
        <v>2609</v>
      </c>
      <c r="N80" s="98">
        <v>2730</v>
      </c>
      <c r="O80" s="101"/>
      <c r="P80" s="156">
        <v>2826</v>
      </c>
      <c r="Q80" s="156">
        <v>3278</v>
      </c>
      <c r="R80" s="156">
        <v>3183</v>
      </c>
      <c r="S80" s="156">
        <v>3298</v>
      </c>
      <c r="T80" s="156">
        <v>3127</v>
      </c>
      <c r="U80" s="156">
        <v>3446</v>
      </c>
      <c r="V80" s="273">
        <v>3267</v>
      </c>
      <c r="W80" s="273">
        <v>3398</v>
      </c>
      <c r="X80" s="273">
        <v>3336</v>
      </c>
      <c r="Y80" s="273">
        <v>3363</v>
      </c>
      <c r="Z80" s="273">
        <v>3382</v>
      </c>
      <c r="AA80" s="273">
        <v>3301</v>
      </c>
      <c r="AC80" s="158">
        <v>3337</v>
      </c>
      <c r="AD80" s="156">
        <v>3484</v>
      </c>
      <c r="AE80" s="170">
        <v>3531</v>
      </c>
      <c r="AF80" s="156">
        <v>2823</v>
      </c>
      <c r="AG80" s="156">
        <v>3652</v>
      </c>
      <c r="AH80" s="156">
        <v>945</v>
      </c>
      <c r="AI80" s="273">
        <v>3616</v>
      </c>
      <c r="AJ80" s="273">
        <v>4592</v>
      </c>
      <c r="AK80" s="273">
        <v>3887</v>
      </c>
      <c r="AL80" s="273">
        <v>3753</v>
      </c>
      <c r="AM80" s="273">
        <v>4027</v>
      </c>
      <c r="AN80" s="273"/>
    </row>
    <row r="81" spans="1:41" x14ac:dyDescent="0.2">
      <c r="A81" s="459"/>
      <c r="B81" s="75">
        <v>26</v>
      </c>
      <c r="C81" s="76" t="s">
        <v>142</v>
      </c>
      <c r="D81" s="106">
        <v>32371.73</v>
      </c>
      <c r="E81" s="89">
        <v>17217</v>
      </c>
      <c r="F81" s="89">
        <v>16463</v>
      </c>
      <c r="G81" s="102">
        <v>16509</v>
      </c>
      <c r="H81" s="89">
        <v>20255</v>
      </c>
      <c r="I81" s="141">
        <v>21066</v>
      </c>
      <c r="J81" s="126">
        <v>18260</v>
      </c>
      <c r="K81" s="130">
        <v>15238</v>
      </c>
      <c r="L81" s="89">
        <v>15780</v>
      </c>
      <c r="M81" s="125">
        <v>11843</v>
      </c>
      <c r="N81" s="98">
        <v>14066</v>
      </c>
      <c r="O81" s="100">
        <f>SUM(D81:N81)</f>
        <v>199068.72999999998</v>
      </c>
      <c r="P81" s="156">
        <v>12615</v>
      </c>
      <c r="Q81" s="156">
        <v>18014</v>
      </c>
      <c r="R81" s="156">
        <v>21553</v>
      </c>
      <c r="S81" s="156">
        <v>19098</v>
      </c>
      <c r="T81" s="156">
        <v>16369</v>
      </c>
      <c r="U81" s="156">
        <v>20673</v>
      </c>
      <c r="V81" s="273">
        <v>16897</v>
      </c>
      <c r="W81" s="273">
        <v>22784</v>
      </c>
      <c r="X81" s="273">
        <v>21308</v>
      </c>
      <c r="Y81" s="273">
        <v>20933</v>
      </c>
      <c r="Z81" s="273">
        <v>23378</v>
      </c>
      <c r="AA81" s="273">
        <v>19849</v>
      </c>
      <c r="AC81" s="158">
        <v>18900</v>
      </c>
      <c r="AD81" s="156">
        <v>22144</v>
      </c>
      <c r="AE81" s="170">
        <v>22093</v>
      </c>
      <c r="AF81" s="156">
        <v>23269</v>
      </c>
      <c r="AG81" s="156">
        <v>22152</v>
      </c>
      <c r="AH81" s="156">
        <v>28626</v>
      </c>
      <c r="AI81" s="273">
        <v>27810</v>
      </c>
      <c r="AJ81" s="273">
        <v>21743</v>
      </c>
      <c r="AK81" s="273">
        <v>28027</v>
      </c>
      <c r="AL81" s="273">
        <v>27002</v>
      </c>
      <c r="AM81" s="273">
        <v>26265</v>
      </c>
      <c r="AN81" s="273"/>
    </row>
    <row r="82" spans="1:41" x14ac:dyDescent="0.2">
      <c r="A82" s="459"/>
      <c r="B82" s="75">
        <v>27</v>
      </c>
      <c r="C82" s="76" t="s">
        <v>143</v>
      </c>
      <c r="D82" s="106">
        <v>1036.42</v>
      </c>
      <c r="E82" s="89">
        <v>491</v>
      </c>
      <c r="F82" s="89">
        <v>401</v>
      </c>
      <c r="G82" s="102">
        <v>529</v>
      </c>
      <c r="H82" s="89">
        <v>632</v>
      </c>
      <c r="I82" s="141">
        <v>577</v>
      </c>
      <c r="J82" s="126">
        <v>566</v>
      </c>
      <c r="K82" s="130">
        <v>457</v>
      </c>
      <c r="L82" s="89">
        <v>489</v>
      </c>
      <c r="M82" s="98">
        <v>357</v>
      </c>
      <c r="N82" s="98">
        <v>400</v>
      </c>
      <c r="O82" s="101"/>
      <c r="P82" s="156">
        <v>356</v>
      </c>
      <c r="Q82" s="156">
        <v>626</v>
      </c>
      <c r="R82" s="156">
        <v>700</v>
      </c>
      <c r="S82" s="156">
        <v>765</v>
      </c>
      <c r="T82" s="156">
        <v>500</v>
      </c>
      <c r="U82" s="156">
        <v>701</v>
      </c>
      <c r="V82" s="273">
        <v>601</v>
      </c>
      <c r="W82" s="273">
        <v>705</v>
      </c>
      <c r="X82" s="273">
        <v>687</v>
      </c>
      <c r="Y82" s="273">
        <v>658</v>
      </c>
      <c r="Z82" s="273">
        <v>746</v>
      </c>
      <c r="AA82" s="273">
        <v>573</v>
      </c>
      <c r="AC82" s="158">
        <v>525</v>
      </c>
      <c r="AD82" s="156">
        <v>684</v>
      </c>
      <c r="AE82" s="170">
        <v>740</v>
      </c>
      <c r="AF82" s="156">
        <v>787</v>
      </c>
      <c r="AG82" s="156">
        <v>723</v>
      </c>
      <c r="AH82" s="156">
        <v>989</v>
      </c>
      <c r="AI82" s="273">
        <v>983</v>
      </c>
      <c r="AJ82" s="273">
        <v>607</v>
      </c>
      <c r="AK82" s="273">
        <v>751</v>
      </c>
      <c r="AL82" s="273">
        <v>703</v>
      </c>
      <c r="AM82" s="273">
        <v>732</v>
      </c>
      <c r="AN82" s="273"/>
    </row>
    <row r="83" spans="1:41" x14ac:dyDescent="0.2">
      <c r="A83" s="459"/>
      <c r="B83" s="75">
        <v>28</v>
      </c>
      <c r="C83" s="76" t="s">
        <v>144</v>
      </c>
      <c r="D83" s="106">
        <v>2161.8900000000003</v>
      </c>
      <c r="E83" s="89">
        <v>981</v>
      </c>
      <c r="F83" s="89">
        <v>799</v>
      </c>
      <c r="G83" s="102">
        <v>1062</v>
      </c>
      <c r="H83" s="89">
        <v>1266</v>
      </c>
      <c r="I83" s="141">
        <v>1155</v>
      </c>
      <c r="J83" s="126">
        <v>1113</v>
      </c>
      <c r="K83" s="130">
        <v>916</v>
      </c>
      <c r="L83" s="89">
        <v>1179</v>
      </c>
      <c r="M83" s="98">
        <v>708</v>
      </c>
      <c r="N83" s="125">
        <v>797</v>
      </c>
      <c r="O83" s="101"/>
      <c r="P83" s="169">
        <v>710</v>
      </c>
      <c r="Q83" s="156">
        <v>1252</v>
      </c>
      <c r="R83" s="156">
        <v>1398</v>
      </c>
      <c r="S83" s="156">
        <v>1456</v>
      </c>
      <c r="T83" s="156">
        <v>998</v>
      </c>
      <c r="U83" s="156">
        <v>1407</v>
      </c>
      <c r="V83" s="273">
        <v>1197</v>
      </c>
      <c r="W83" s="273">
        <v>1404</v>
      </c>
      <c r="X83" s="273">
        <v>1368</v>
      </c>
      <c r="Y83" s="273">
        <v>1316</v>
      </c>
      <c r="Z83" s="273">
        <v>1495</v>
      </c>
      <c r="AA83" s="273">
        <v>1146</v>
      </c>
      <c r="AC83" s="157">
        <v>1053</v>
      </c>
      <c r="AD83" s="156">
        <v>1366</v>
      </c>
      <c r="AE83" s="170">
        <v>1477</v>
      </c>
      <c r="AF83" s="156">
        <v>149</v>
      </c>
      <c r="AG83" s="156">
        <v>1444</v>
      </c>
      <c r="AH83" s="156">
        <v>128</v>
      </c>
      <c r="AI83" s="273">
        <v>1961</v>
      </c>
      <c r="AJ83" s="273">
        <v>1210</v>
      </c>
      <c r="AK83" s="273">
        <v>1501</v>
      </c>
      <c r="AL83" s="273">
        <v>1406</v>
      </c>
      <c r="AM83" s="273">
        <v>1464</v>
      </c>
      <c r="AN83" s="273"/>
    </row>
    <row r="84" spans="1:41" x14ac:dyDescent="0.25">
      <c r="A84" s="459"/>
      <c r="B84" s="75">
        <v>29</v>
      </c>
      <c r="C84" s="76" t="s">
        <v>145</v>
      </c>
      <c r="D84" s="106">
        <v>73838.599999999977</v>
      </c>
      <c r="E84" s="89">
        <v>36617</v>
      </c>
      <c r="F84" s="89">
        <v>34111</v>
      </c>
      <c r="G84" s="102">
        <v>35222</v>
      </c>
      <c r="H84" s="89">
        <v>34683</v>
      </c>
      <c r="I84" s="141">
        <v>38121</v>
      </c>
      <c r="J84" s="126">
        <v>39248</v>
      </c>
      <c r="K84" s="89">
        <v>41288</v>
      </c>
      <c r="L84" s="89">
        <v>43243</v>
      </c>
      <c r="M84" s="98">
        <v>34593</v>
      </c>
      <c r="N84" s="98">
        <v>37233</v>
      </c>
      <c r="O84" s="100">
        <f>SUM(D84:N84)</f>
        <v>448197.6</v>
      </c>
      <c r="P84" s="156">
        <v>39625</v>
      </c>
      <c r="Q84" s="156">
        <v>43911</v>
      </c>
      <c r="R84" s="156">
        <v>45648</v>
      </c>
      <c r="S84" s="156">
        <v>44987</v>
      </c>
      <c r="T84" s="156">
        <v>43751</v>
      </c>
      <c r="U84" s="156">
        <v>47426</v>
      </c>
      <c r="V84" s="273">
        <v>40368</v>
      </c>
      <c r="W84" s="273">
        <v>48188</v>
      </c>
      <c r="X84" s="273">
        <v>44569</v>
      </c>
      <c r="Y84" s="273">
        <v>40485</v>
      </c>
      <c r="Z84" s="273">
        <v>44551</v>
      </c>
      <c r="AA84" s="273">
        <v>44271</v>
      </c>
      <c r="AC84" s="158">
        <v>41844</v>
      </c>
      <c r="AD84" s="156">
        <v>45001</v>
      </c>
      <c r="AE84" s="170">
        <v>51359</v>
      </c>
      <c r="AF84" s="156">
        <v>48648</v>
      </c>
      <c r="AG84" s="156">
        <v>49419</v>
      </c>
      <c r="AH84" s="156">
        <v>54722</v>
      </c>
      <c r="AI84" s="273">
        <v>52007</v>
      </c>
      <c r="AJ84" s="273">
        <v>51677</v>
      </c>
      <c r="AK84" s="273">
        <v>56081</v>
      </c>
      <c r="AL84" s="273">
        <v>55173</v>
      </c>
      <c r="AM84" s="273">
        <v>55904</v>
      </c>
      <c r="AN84" s="273"/>
    </row>
    <row r="85" spans="1:41" x14ac:dyDescent="0.25">
      <c r="A85" s="459"/>
      <c r="B85" s="75">
        <v>30</v>
      </c>
      <c r="C85" s="76" t="s">
        <v>146</v>
      </c>
      <c r="D85" s="106">
        <v>3358.3500000000045</v>
      </c>
      <c r="E85" s="89">
        <v>1758</v>
      </c>
      <c r="F85" s="89">
        <v>1594</v>
      </c>
      <c r="G85" s="102">
        <v>1635</v>
      </c>
      <c r="H85" s="89">
        <v>1604</v>
      </c>
      <c r="I85" s="141">
        <v>1791</v>
      </c>
      <c r="J85" s="126">
        <v>1875</v>
      </c>
      <c r="K85" s="89">
        <v>1939</v>
      </c>
      <c r="L85" s="89">
        <v>1908</v>
      </c>
      <c r="M85" s="98">
        <v>1624</v>
      </c>
      <c r="N85" s="98">
        <v>1744</v>
      </c>
      <c r="O85" s="101"/>
      <c r="P85" s="156">
        <v>1943</v>
      </c>
      <c r="Q85" s="156">
        <v>2029</v>
      </c>
      <c r="R85" s="156">
        <v>2088</v>
      </c>
      <c r="S85" s="156">
        <v>1987</v>
      </c>
      <c r="T85" s="156">
        <v>1921</v>
      </c>
      <c r="U85" s="156">
        <v>2148</v>
      </c>
      <c r="V85" s="273">
        <v>1858</v>
      </c>
      <c r="W85" s="273">
        <v>2137</v>
      </c>
      <c r="X85" s="273">
        <v>2089</v>
      </c>
      <c r="Y85" s="273">
        <v>1853</v>
      </c>
      <c r="Z85" s="273">
        <v>2003</v>
      </c>
      <c r="AA85" s="273">
        <v>1951</v>
      </c>
      <c r="AC85" s="158">
        <v>1885</v>
      </c>
      <c r="AD85" s="156">
        <v>2067</v>
      </c>
      <c r="AE85" s="170">
        <v>2340</v>
      </c>
      <c r="AF85" s="156">
        <v>2174</v>
      </c>
      <c r="AG85" s="156">
        <v>2173</v>
      </c>
      <c r="AH85" s="156">
        <v>2496</v>
      </c>
      <c r="AI85" s="273">
        <v>2347</v>
      </c>
      <c r="AJ85" s="273">
        <v>2388</v>
      </c>
      <c r="AK85" s="273">
        <v>2325</v>
      </c>
      <c r="AL85" s="273">
        <v>2323</v>
      </c>
      <c r="AM85" s="273">
        <v>2372</v>
      </c>
      <c r="AN85" s="273"/>
    </row>
    <row r="86" spans="1:41" x14ac:dyDescent="0.25">
      <c r="A86" s="459"/>
      <c r="B86" s="75">
        <v>31</v>
      </c>
      <c r="C86" s="76" t="s">
        <v>147</v>
      </c>
      <c r="D86" s="106">
        <v>6087.6700000000092</v>
      </c>
      <c r="E86" s="89">
        <v>3365</v>
      </c>
      <c r="F86" s="89">
        <v>3054</v>
      </c>
      <c r="G86" s="102">
        <v>3136</v>
      </c>
      <c r="H86" s="89">
        <v>3126</v>
      </c>
      <c r="I86" s="141">
        <v>3464</v>
      </c>
      <c r="J86" s="126">
        <v>3651</v>
      </c>
      <c r="K86" s="89">
        <v>3776</v>
      </c>
      <c r="L86" s="89">
        <v>3897</v>
      </c>
      <c r="M86" s="98">
        <v>3251</v>
      </c>
      <c r="N86" s="98">
        <v>3470</v>
      </c>
      <c r="O86" s="101"/>
      <c r="P86" s="156">
        <v>3864</v>
      </c>
      <c r="Q86" s="156">
        <v>4092</v>
      </c>
      <c r="R86" s="156">
        <v>4218</v>
      </c>
      <c r="S86" s="156">
        <v>4123</v>
      </c>
      <c r="T86" s="156">
        <v>3864</v>
      </c>
      <c r="U86" s="156">
        <v>4290</v>
      </c>
      <c r="V86" s="273">
        <v>3684</v>
      </c>
      <c r="W86" s="273">
        <v>4382</v>
      </c>
      <c r="X86" s="273">
        <v>4238</v>
      </c>
      <c r="Y86" s="273">
        <v>3832</v>
      </c>
      <c r="Z86" s="273">
        <v>4108</v>
      </c>
      <c r="AA86" s="273">
        <v>4032</v>
      </c>
      <c r="AC86" s="158">
        <v>3910</v>
      </c>
      <c r="AD86" s="156">
        <v>3980</v>
      </c>
      <c r="AE86" s="170">
        <v>4653</v>
      </c>
      <c r="AF86" s="156">
        <v>935</v>
      </c>
      <c r="AG86" s="156">
        <v>4346</v>
      </c>
      <c r="AH86" s="156">
        <v>1008</v>
      </c>
      <c r="AI86" s="273">
        <v>4706</v>
      </c>
      <c r="AJ86" s="273">
        <v>4786</v>
      </c>
      <c r="AK86" s="273">
        <v>4652</v>
      </c>
      <c r="AL86" s="273">
        <v>4647</v>
      </c>
      <c r="AM86" s="273">
        <v>4745</v>
      </c>
      <c r="AN86" s="273"/>
    </row>
    <row r="87" spans="1:41" x14ac:dyDescent="0.25">
      <c r="A87" s="459"/>
      <c r="B87" s="75">
        <v>32</v>
      </c>
      <c r="C87" s="76" t="s">
        <v>148</v>
      </c>
      <c r="D87" s="106">
        <v>22581.309999999998</v>
      </c>
      <c r="E87" s="89">
        <v>12174</v>
      </c>
      <c r="F87" s="89">
        <v>10474</v>
      </c>
      <c r="G87" s="102">
        <v>10600</v>
      </c>
      <c r="H87" s="89">
        <v>14266</v>
      </c>
      <c r="I87" s="141">
        <v>10022</v>
      </c>
      <c r="J87" s="126">
        <v>10618</v>
      </c>
      <c r="K87" s="89">
        <v>9587</v>
      </c>
      <c r="L87" s="89">
        <v>8854</v>
      </c>
      <c r="M87" s="98">
        <v>11231</v>
      </c>
      <c r="N87" s="98">
        <v>11491</v>
      </c>
      <c r="O87" s="100">
        <f>SUM(D87:N87)</f>
        <v>131898.31</v>
      </c>
      <c r="P87" s="156">
        <v>1732</v>
      </c>
      <c r="Q87" s="156">
        <v>10572</v>
      </c>
      <c r="R87" s="156">
        <v>13254</v>
      </c>
      <c r="S87" s="156">
        <v>12346</v>
      </c>
      <c r="T87" s="156">
        <v>10216</v>
      </c>
      <c r="U87" s="156">
        <v>15762</v>
      </c>
      <c r="V87" s="273">
        <v>11567</v>
      </c>
      <c r="W87" s="273">
        <v>11419</v>
      </c>
      <c r="X87" s="273">
        <v>11489</v>
      </c>
      <c r="Y87" s="273">
        <v>12848</v>
      </c>
      <c r="Z87" s="273">
        <v>7402</v>
      </c>
      <c r="AA87" s="273">
        <v>12613</v>
      </c>
      <c r="AC87" s="158">
        <v>1873</v>
      </c>
      <c r="AD87" s="156">
        <v>16840</v>
      </c>
      <c r="AE87" s="170">
        <v>15063</v>
      </c>
      <c r="AF87" s="156">
        <v>14553</v>
      </c>
      <c r="AG87" s="156">
        <v>14110</v>
      </c>
      <c r="AH87" s="156">
        <v>15028</v>
      </c>
      <c r="AI87" s="273">
        <v>15580</v>
      </c>
      <c r="AJ87" s="273">
        <v>12842</v>
      </c>
      <c r="AK87" s="273">
        <v>15255</v>
      </c>
      <c r="AL87" s="273">
        <v>18531</v>
      </c>
      <c r="AM87" s="273">
        <v>12725</v>
      </c>
      <c r="AN87" s="273"/>
    </row>
    <row r="88" spans="1:41" x14ac:dyDescent="0.25">
      <c r="A88" s="459"/>
      <c r="B88" s="75">
        <v>33</v>
      </c>
      <c r="C88" s="76" t="s">
        <v>149</v>
      </c>
      <c r="D88" s="106">
        <v>1093.8400000000001</v>
      </c>
      <c r="E88" s="89">
        <v>598</v>
      </c>
      <c r="F88" s="89">
        <v>519</v>
      </c>
      <c r="G88" s="102">
        <v>466</v>
      </c>
      <c r="H88" s="89">
        <v>659</v>
      </c>
      <c r="I88" s="141">
        <v>474</v>
      </c>
      <c r="J88" s="126">
        <v>504</v>
      </c>
      <c r="K88" s="89">
        <v>450</v>
      </c>
      <c r="L88" s="89">
        <v>487</v>
      </c>
      <c r="M88" s="98">
        <v>537</v>
      </c>
      <c r="N88" s="98">
        <v>551</v>
      </c>
      <c r="O88" s="100">
        <f>SUM(O75:O87)</f>
        <v>7628555.8499999931</v>
      </c>
      <c r="P88" s="156">
        <v>79</v>
      </c>
      <c r="Q88" s="156">
        <v>496</v>
      </c>
      <c r="R88" s="156">
        <v>627</v>
      </c>
      <c r="S88" s="156">
        <v>532</v>
      </c>
      <c r="T88" s="156">
        <v>468</v>
      </c>
      <c r="U88" s="156">
        <v>878</v>
      </c>
      <c r="V88" s="273">
        <v>568</v>
      </c>
      <c r="W88" s="273">
        <v>567</v>
      </c>
      <c r="X88" s="273">
        <v>562</v>
      </c>
      <c r="Y88" s="273">
        <v>96</v>
      </c>
      <c r="Z88" s="273">
        <v>350</v>
      </c>
      <c r="AA88" s="273">
        <v>569</v>
      </c>
      <c r="AC88" s="274">
        <v>87</v>
      </c>
      <c r="AD88" s="273">
        <v>750</v>
      </c>
      <c r="AE88" s="279">
        <v>684</v>
      </c>
      <c r="AF88" s="273">
        <v>638</v>
      </c>
      <c r="AG88" s="273">
        <v>630</v>
      </c>
      <c r="AH88" s="273">
        <v>695</v>
      </c>
      <c r="AI88" s="273">
        <v>715</v>
      </c>
      <c r="AJ88" s="273">
        <v>603</v>
      </c>
      <c r="AK88" s="273">
        <v>636</v>
      </c>
      <c r="AL88" s="273">
        <v>782</v>
      </c>
      <c r="AM88" s="273">
        <v>575</v>
      </c>
      <c r="AN88" s="273"/>
    </row>
    <row r="89" spans="1:41" x14ac:dyDescent="0.25">
      <c r="A89" s="459"/>
      <c r="B89" s="75">
        <v>34</v>
      </c>
      <c r="C89" s="76" t="s">
        <v>150</v>
      </c>
      <c r="D89" s="106">
        <v>2715.5600000000004</v>
      </c>
      <c r="E89" s="89">
        <v>1199</v>
      </c>
      <c r="F89" s="89">
        <v>1041</v>
      </c>
      <c r="G89" s="102">
        <v>933</v>
      </c>
      <c r="H89" s="89">
        <v>1318</v>
      </c>
      <c r="I89" s="141">
        <v>948</v>
      </c>
      <c r="J89" s="126">
        <v>1003</v>
      </c>
      <c r="K89" s="89">
        <v>900</v>
      </c>
      <c r="L89" s="89">
        <v>924</v>
      </c>
      <c r="M89" s="98">
        <v>1075</v>
      </c>
      <c r="N89" s="98">
        <v>1099</v>
      </c>
      <c r="O89" s="101"/>
      <c r="P89" s="156">
        <v>157</v>
      </c>
      <c r="Q89" s="156">
        <v>1006</v>
      </c>
      <c r="R89" s="156">
        <v>1288</v>
      </c>
      <c r="S89" s="156">
        <v>1308</v>
      </c>
      <c r="T89" s="156">
        <v>948</v>
      </c>
      <c r="U89" s="156">
        <v>1730</v>
      </c>
      <c r="V89" s="273">
        <v>1108</v>
      </c>
      <c r="W89" s="273">
        <v>1104</v>
      </c>
      <c r="X89" s="273">
        <v>1093</v>
      </c>
      <c r="Y89" s="273">
        <v>183</v>
      </c>
      <c r="Z89" s="273">
        <v>699</v>
      </c>
      <c r="AA89" s="273">
        <v>1134</v>
      </c>
      <c r="AC89" s="274">
        <v>174</v>
      </c>
      <c r="AD89" s="273">
        <v>1496</v>
      </c>
      <c r="AE89" s="279">
        <v>1369</v>
      </c>
      <c r="AF89" s="273">
        <v>80</v>
      </c>
      <c r="AG89" s="273">
        <v>1290</v>
      </c>
      <c r="AH89" s="273">
        <v>123</v>
      </c>
      <c r="AI89" s="273">
        <v>1455</v>
      </c>
      <c r="AJ89" s="273">
        <v>1238</v>
      </c>
      <c r="AK89" s="273">
        <v>1272</v>
      </c>
      <c r="AL89" s="273">
        <v>1564</v>
      </c>
      <c r="AM89" s="273">
        <v>1150</v>
      </c>
      <c r="AN89" s="273"/>
    </row>
    <row r="90" spans="1:41" x14ac:dyDescent="0.25">
      <c r="A90" s="459"/>
      <c r="B90" s="75">
        <v>35</v>
      </c>
      <c r="C90" s="76" t="s">
        <v>151</v>
      </c>
      <c r="D90" s="89">
        <v>527</v>
      </c>
      <c r="E90" s="89">
        <v>509</v>
      </c>
      <c r="F90" s="89">
        <v>578</v>
      </c>
      <c r="G90" s="102">
        <f>285+75</f>
        <v>360</v>
      </c>
      <c r="H90" s="89">
        <v>210</v>
      </c>
      <c r="I90" s="141">
        <v>214</v>
      </c>
      <c r="J90" s="126">
        <v>226</v>
      </c>
      <c r="K90" s="102">
        <v>221</v>
      </c>
      <c r="L90" s="89">
        <v>90</v>
      </c>
      <c r="M90" s="98">
        <v>180</v>
      </c>
      <c r="N90" s="98">
        <v>213</v>
      </c>
      <c r="O90" s="101"/>
      <c r="P90" s="156">
        <v>205</v>
      </c>
      <c r="Q90" s="156">
        <v>198</v>
      </c>
      <c r="R90" s="156">
        <v>186</v>
      </c>
      <c r="S90" s="156">
        <v>178</v>
      </c>
      <c r="T90" s="156">
        <v>153</v>
      </c>
      <c r="U90" s="156">
        <v>169</v>
      </c>
      <c r="V90" s="273">
        <v>180</v>
      </c>
      <c r="W90" s="273">
        <v>207</v>
      </c>
      <c r="X90" s="273">
        <v>195</v>
      </c>
      <c r="Y90" s="273">
        <v>230</v>
      </c>
      <c r="Z90" s="273">
        <v>215</v>
      </c>
      <c r="AA90" s="273">
        <v>104</v>
      </c>
      <c r="AC90" s="273">
        <v>95</v>
      </c>
      <c r="AD90" s="273">
        <v>123</v>
      </c>
      <c r="AE90" s="279">
        <v>240</v>
      </c>
      <c r="AF90" s="273">
        <v>241</v>
      </c>
      <c r="AG90" s="273">
        <v>123</v>
      </c>
      <c r="AH90" s="273">
        <v>81</v>
      </c>
      <c r="AI90" s="273">
        <v>105</v>
      </c>
      <c r="AJ90" s="273">
        <v>100</v>
      </c>
      <c r="AK90" s="273">
        <v>84</v>
      </c>
      <c r="AL90" s="273">
        <v>62</v>
      </c>
      <c r="AM90" s="273"/>
      <c r="AN90" s="273"/>
    </row>
    <row r="91" spans="1:41" x14ac:dyDescent="0.25">
      <c r="A91" s="459"/>
      <c r="B91" s="75">
        <v>36</v>
      </c>
      <c r="C91" s="76" t="s">
        <v>152</v>
      </c>
      <c r="D91" s="89">
        <v>361</v>
      </c>
      <c r="E91" s="89">
        <v>436</v>
      </c>
      <c r="F91" s="89">
        <v>900</v>
      </c>
      <c r="G91" s="102">
        <f>285+67</f>
        <v>352</v>
      </c>
      <c r="H91" s="89">
        <v>210</v>
      </c>
      <c r="I91" s="141">
        <v>207</v>
      </c>
      <c r="J91" s="126">
        <f>116+110</f>
        <v>226</v>
      </c>
      <c r="K91" s="102">
        <v>221</v>
      </c>
      <c r="L91" s="89">
        <v>90</v>
      </c>
      <c r="M91" s="98">
        <v>180</v>
      </c>
      <c r="N91" s="98">
        <v>213</v>
      </c>
      <c r="O91" s="101"/>
      <c r="P91" s="156">
        <v>205</v>
      </c>
      <c r="Q91" s="156">
        <v>198</v>
      </c>
      <c r="R91" s="156">
        <v>186</v>
      </c>
      <c r="S91" s="156">
        <v>178</v>
      </c>
      <c r="T91" s="156">
        <v>153</v>
      </c>
      <c r="U91" s="156">
        <v>169</v>
      </c>
      <c r="V91" s="273">
        <v>180</v>
      </c>
      <c r="W91" s="273">
        <v>207</v>
      </c>
      <c r="X91" s="273">
        <v>195</v>
      </c>
      <c r="Y91" s="273">
        <v>230</v>
      </c>
      <c r="Z91" s="273">
        <v>215</v>
      </c>
      <c r="AA91" s="273">
        <v>104</v>
      </c>
      <c r="AC91" s="273">
        <v>95</v>
      </c>
      <c r="AD91" s="273">
        <v>123</v>
      </c>
      <c r="AE91" s="279">
        <v>240</v>
      </c>
      <c r="AF91" s="273">
        <v>241</v>
      </c>
      <c r="AG91" s="273">
        <v>110</v>
      </c>
      <c r="AH91" s="273">
        <v>75</v>
      </c>
      <c r="AI91" s="273">
        <v>93</v>
      </c>
      <c r="AJ91" s="273">
        <v>94</v>
      </c>
      <c r="AK91" s="273">
        <v>80</v>
      </c>
      <c r="AL91" s="273">
        <v>59</v>
      </c>
      <c r="AM91" s="273"/>
      <c r="AN91" s="273"/>
    </row>
    <row r="92" spans="1:41" x14ac:dyDescent="0.25">
      <c r="A92" s="459"/>
      <c r="B92" s="75">
        <v>37</v>
      </c>
      <c r="C92" s="76" t="s">
        <v>153</v>
      </c>
      <c r="D92" s="89">
        <v>91145</v>
      </c>
      <c r="E92" s="89">
        <v>44182</v>
      </c>
      <c r="F92" s="89">
        <v>46199</v>
      </c>
      <c r="G92" s="102">
        <v>47257</v>
      </c>
      <c r="H92" s="89">
        <v>50629</v>
      </c>
      <c r="I92" s="141">
        <v>51326</v>
      </c>
      <c r="J92" s="126">
        <v>45692</v>
      </c>
      <c r="K92" s="89">
        <v>43927</v>
      </c>
      <c r="L92" s="89">
        <v>42547</v>
      </c>
      <c r="M92" s="98">
        <v>34533</v>
      </c>
      <c r="N92" s="98">
        <v>39936</v>
      </c>
      <c r="O92" s="101">
        <f>SUM(D92:N92)</f>
        <v>537373</v>
      </c>
      <c r="P92" s="170">
        <v>34171</v>
      </c>
      <c r="Q92" s="170">
        <v>46464</v>
      </c>
      <c r="R92" s="170">
        <v>50323</v>
      </c>
      <c r="S92" s="170">
        <v>48960</v>
      </c>
      <c r="T92" s="170">
        <v>53903</v>
      </c>
      <c r="U92" s="170">
        <v>49208</v>
      </c>
      <c r="V92" s="279">
        <v>46074</v>
      </c>
      <c r="W92" s="279">
        <v>57933</v>
      </c>
      <c r="X92" s="280">
        <v>47286</v>
      </c>
      <c r="Y92" s="279">
        <v>47808</v>
      </c>
      <c r="Z92" s="280">
        <v>44468</v>
      </c>
      <c r="AA92" s="280">
        <v>42978</v>
      </c>
      <c r="AB92" s="205">
        <f>SUM(P92:AA92)</f>
        <v>569576</v>
      </c>
      <c r="AC92" s="274">
        <v>54660</v>
      </c>
      <c r="AD92" s="273">
        <v>71903</v>
      </c>
      <c r="AE92" s="279">
        <v>75347</v>
      </c>
      <c r="AF92" s="279">
        <v>45561</v>
      </c>
      <c r="AG92" s="273">
        <v>61451</v>
      </c>
      <c r="AH92" s="273">
        <v>66232</v>
      </c>
      <c r="AI92" s="273">
        <v>52741</v>
      </c>
      <c r="AJ92" s="279">
        <v>50817</v>
      </c>
      <c r="AK92" s="273">
        <v>47553</v>
      </c>
      <c r="AL92" s="273">
        <v>52652</v>
      </c>
      <c r="AM92" s="273">
        <v>51258</v>
      </c>
      <c r="AN92" s="280">
        <f>+AM92+AM93+AM94+AM95+AM96</f>
        <v>60277</v>
      </c>
      <c r="AO92" s="71">
        <f>+AM92/AN92</f>
        <v>0.85037410620966536</v>
      </c>
    </row>
    <row r="93" spans="1:41" x14ac:dyDescent="0.25">
      <c r="A93" s="459"/>
      <c r="B93" s="75">
        <v>38</v>
      </c>
      <c r="C93" s="76" t="s">
        <v>154</v>
      </c>
      <c r="D93" s="89">
        <v>3837</v>
      </c>
      <c r="E93" s="89">
        <v>1941</v>
      </c>
      <c r="F93" s="89">
        <v>1753</v>
      </c>
      <c r="G93" s="102">
        <v>1800</v>
      </c>
      <c r="H93" s="89">
        <v>1723</v>
      </c>
      <c r="I93" s="141">
        <v>1643</v>
      </c>
      <c r="J93" s="126">
        <v>1806</v>
      </c>
      <c r="K93" s="89">
        <v>1599</v>
      </c>
      <c r="L93" s="89">
        <v>1550</v>
      </c>
      <c r="M93" s="98">
        <v>1156</v>
      </c>
      <c r="N93" s="98">
        <v>1380</v>
      </c>
      <c r="O93" s="101">
        <f>SUM(D93:N93)</f>
        <v>20188</v>
      </c>
      <c r="P93" s="170">
        <v>1381</v>
      </c>
      <c r="Q93" s="170">
        <v>1689</v>
      </c>
      <c r="R93" s="170">
        <v>1777</v>
      </c>
      <c r="S93" s="170">
        <v>2015</v>
      </c>
      <c r="T93" s="170">
        <v>2121</v>
      </c>
      <c r="U93" s="170">
        <v>1741</v>
      </c>
      <c r="V93" s="279">
        <v>1801</v>
      </c>
      <c r="W93" s="279">
        <v>2171</v>
      </c>
      <c r="X93" s="280">
        <v>1863</v>
      </c>
      <c r="Y93" s="279">
        <v>1737</v>
      </c>
      <c r="Z93" s="280">
        <v>2013</v>
      </c>
      <c r="AA93" s="280">
        <v>1852</v>
      </c>
      <c r="AB93" s="205">
        <f>SUM(P93:AA93)</f>
        <v>22161</v>
      </c>
      <c r="AC93" s="274">
        <v>3227</v>
      </c>
      <c r="AD93" s="273">
        <v>3420</v>
      </c>
      <c r="AE93" s="279">
        <v>3497</v>
      </c>
      <c r="AF93" s="279">
        <v>1978</v>
      </c>
      <c r="AG93" s="273">
        <v>2186</v>
      </c>
      <c r="AH93" s="273">
        <v>2472</v>
      </c>
      <c r="AI93" s="279">
        <v>2211</v>
      </c>
      <c r="AJ93" s="279">
        <v>1983</v>
      </c>
      <c r="AK93" s="273">
        <v>2180</v>
      </c>
      <c r="AL93" s="273">
        <v>2030</v>
      </c>
      <c r="AM93" s="273">
        <v>2313</v>
      </c>
      <c r="AN93" s="280"/>
      <c r="AO93" s="71">
        <f>+AM93/AN92</f>
        <v>3.8372845363903313E-2</v>
      </c>
    </row>
    <row r="94" spans="1:41" x14ac:dyDescent="0.25">
      <c r="A94" s="459"/>
      <c r="B94" s="75">
        <v>39</v>
      </c>
      <c r="C94" s="76" t="s">
        <v>155</v>
      </c>
      <c r="D94" s="89">
        <v>1478</v>
      </c>
      <c r="E94" s="89">
        <v>777</v>
      </c>
      <c r="F94" s="89">
        <v>751</v>
      </c>
      <c r="G94" s="102">
        <v>760</v>
      </c>
      <c r="H94" s="89">
        <v>926</v>
      </c>
      <c r="I94" s="141">
        <v>968</v>
      </c>
      <c r="J94" s="126">
        <v>828</v>
      </c>
      <c r="K94" s="89">
        <v>704</v>
      </c>
      <c r="L94" s="89">
        <v>645</v>
      </c>
      <c r="M94" s="98">
        <v>538</v>
      </c>
      <c r="N94" s="98">
        <v>643</v>
      </c>
      <c r="O94" s="71">
        <f>SUM(D94:N94)</f>
        <v>9018</v>
      </c>
      <c r="P94" s="170">
        <v>571</v>
      </c>
      <c r="Q94" s="170">
        <v>787</v>
      </c>
      <c r="R94" s="170">
        <v>929</v>
      </c>
      <c r="S94" s="170">
        <v>772</v>
      </c>
      <c r="T94" s="170">
        <v>823</v>
      </c>
      <c r="U94" s="170">
        <v>669</v>
      </c>
      <c r="V94" s="279">
        <v>721</v>
      </c>
      <c r="W94" s="279">
        <v>932</v>
      </c>
      <c r="X94" s="280">
        <v>871</v>
      </c>
      <c r="Y94" s="279">
        <v>866</v>
      </c>
      <c r="Z94" s="280">
        <v>938</v>
      </c>
      <c r="AA94" s="280">
        <v>825</v>
      </c>
      <c r="AB94" s="205">
        <f>SUM(P94:AA94)</f>
        <v>9704</v>
      </c>
      <c r="AC94" s="397">
        <v>790</v>
      </c>
      <c r="AD94" s="279">
        <v>887</v>
      </c>
      <c r="AE94" s="279">
        <v>878</v>
      </c>
      <c r="AF94" s="279">
        <v>906</v>
      </c>
      <c r="AG94" s="280">
        <v>856</v>
      </c>
      <c r="AH94" s="279">
        <v>1101</v>
      </c>
      <c r="AI94" s="280">
        <v>932</v>
      </c>
      <c r="AJ94" s="279">
        <v>1010</v>
      </c>
      <c r="AK94" s="280">
        <v>1085</v>
      </c>
      <c r="AL94" s="279">
        <v>1047</v>
      </c>
      <c r="AM94" s="280">
        <v>1002</v>
      </c>
      <c r="AN94" s="280"/>
      <c r="AO94" s="71">
        <f>+AM94/AN92</f>
        <v>1.6623255968279776E-2</v>
      </c>
    </row>
    <row r="95" spans="1:41" x14ac:dyDescent="0.25">
      <c r="A95" s="459"/>
      <c r="B95" s="75">
        <v>40</v>
      </c>
      <c r="C95" s="76" t="s">
        <v>156</v>
      </c>
      <c r="D95" s="89">
        <v>6608</v>
      </c>
      <c r="E95" s="89">
        <v>3055</v>
      </c>
      <c r="F95" s="89">
        <v>2832</v>
      </c>
      <c r="G95" s="102">
        <v>2975</v>
      </c>
      <c r="H95" s="89">
        <v>3087</v>
      </c>
      <c r="I95" s="141">
        <v>3247</v>
      </c>
      <c r="J95" s="126">
        <v>3333</v>
      </c>
      <c r="K95" s="89">
        <v>3390</v>
      </c>
      <c r="L95" s="89">
        <v>3094</v>
      </c>
      <c r="M95" s="98">
        <v>2505</v>
      </c>
      <c r="N95" s="98">
        <v>2858</v>
      </c>
      <c r="O95" s="71">
        <f>SUM(D95:N95)</f>
        <v>36984</v>
      </c>
      <c r="P95" s="170">
        <v>3089</v>
      </c>
      <c r="Q95" s="170">
        <v>3470</v>
      </c>
      <c r="R95" s="170">
        <v>3688</v>
      </c>
      <c r="S95" s="170">
        <v>3791</v>
      </c>
      <c r="T95" s="170">
        <v>3814</v>
      </c>
      <c r="U95" s="170">
        <v>3770</v>
      </c>
      <c r="V95" s="279">
        <v>3120</v>
      </c>
      <c r="W95" s="279">
        <v>3934</v>
      </c>
      <c r="X95" s="280">
        <v>3438</v>
      </c>
      <c r="Y95" s="279">
        <v>3098</v>
      </c>
      <c r="Z95" s="280">
        <v>3476</v>
      </c>
      <c r="AA95" s="280">
        <v>3376</v>
      </c>
      <c r="AB95" s="205">
        <f>SUM(P95:AA95)</f>
        <v>42064</v>
      </c>
      <c r="AC95" s="397">
        <v>4037</v>
      </c>
      <c r="AD95" s="279">
        <v>4207</v>
      </c>
      <c r="AE95" s="280">
        <v>4678</v>
      </c>
      <c r="AF95" s="280">
        <v>3640</v>
      </c>
      <c r="AG95" s="280">
        <v>3650</v>
      </c>
      <c r="AH95" s="280">
        <v>4278</v>
      </c>
      <c r="AI95" s="280">
        <v>3507</v>
      </c>
      <c r="AJ95" s="279">
        <v>3441</v>
      </c>
      <c r="AK95" s="280">
        <v>4096</v>
      </c>
      <c r="AL95" s="279">
        <v>3920</v>
      </c>
      <c r="AM95" s="280">
        <v>4043</v>
      </c>
      <c r="AN95" s="280"/>
      <c r="AO95" s="71">
        <f>+AM95/AN92</f>
        <v>6.7073676526701723E-2</v>
      </c>
    </row>
    <row r="96" spans="1:41" x14ac:dyDescent="0.2">
      <c r="A96" s="459"/>
      <c r="B96" s="75">
        <v>41</v>
      </c>
      <c r="C96" s="76" t="s">
        <v>157</v>
      </c>
      <c r="D96" s="89">
        <v>2531</v>
      </c>
      <c r="E96" s="89">
        <v>1151</v>
      </c>
      <c r="F96" s="89">
        <v>966</v>
      </c>
      <c r="G96" s="102">
        <v>966</v>
      </c>
      <c r="H96" s="89">
        <v>1379</v>
      </c>
      <c r="I96" s="141">
        <v>897</v>
      </c>
      <c r="J96" s="126">
        <v>774</v>
      </c>
      <c r="K96" s="130">
        <v>791</v>
      </c>
      <c r="L96" s="89">
        <v>810</v>
      </c>
      <c r="M96" s="98">
        <v>981</v>
      </c>
      <c r="N96" s="98">
        <v>946</v>
      </c>
      <c r="O96" s="71">
        <f>SUM(D96:N96)</f>
        <v>12192</v>
      </c>
      <c r="P96" s="170">
        <v>336</v>
      </c>
      <c r="Q96" s="170">
        <v>861</v>
      </c>
      <c r="R96" s="170">
        <v>1182</v>
      </c>
      <c r="S96" s="170">
        <v>835</v>
      </c>
      <c r="T96" s="170">
        <v>1715</v>
      </c>
      <c r="U96" s="170">
        <v>763</v>
      </c>
      <c r="V96" s="279">
        <v>1002</v>
      </c>
      <c r="W96" s="279">
        <v>858</v>
      </c>
      <c r="X96" s="280">
        <v>625</v>
      </c>
      <c r="Y96" s="279">
        <v>1262</v>
      </c>
      <c r="Z96" s="280">
        <v>301</v>
      </c>
      <c r="AA96" s="280">
        <v>926</v>
      </c>
      <c r="AB96" s="205">
        <f>SUM(P96:AA96)</f>
        <v>10666</v>
      </c>
      <c r="AC96" s="397"/>
      <c r="AD96" s="279">
        <v>1436</v>
      </c>
      <c r="AE96" s="280">
        <v>1286</v>
      </c>
      <c r="AF96" s="280">
        <v>1263</v>
      </c>
      <c r="AG96" s="280">
        <v>1126</v>
      </c>
      <c r="AH96" s="280">
        <v>1246</v>
      </c>
      <c r="AI96" s="280">
        <v>1060</v>
      </c>
      <c r="AJ96" s="279">
        <v>963</v>
      </c>
      <c r="AK96" s="280">
        <v>1582</v>
      </c>
      <c r="AL96" s="279">
        <v>2063</v>
      </c>
      <c r="AM96" s="280">
        <v>1661</v>
      </c>
      <c r="AN96" s="280"/>
      <c r="AO96" s="71">
        <f>+AM96/AN92</f>
        <v>2.7556115931449805E-2</v>
      </c>
    </row>
    <row r="97" spans="1:40" x14ac:dyDescent="0.25">
      <c r="A97" s="459"/>
      <c r="B97" s="75">
        <v>42</v>
      </c>
      <c r="C97" s="76" t="s">
        <v>158</v>
      </c>
      <c r="D97" s="89">
        <v>7065</v>
      </c>
      <c r="E97" s="89">
        <v>7065</v>
      </c>
      <c r="F97" s="89">
        <v>7065</v>
      </c>
      <c r="G97" s="102">
        <v>7065</v>
      </c>
      <c r="H97" s="89">
        <v>7095</v>
      </c>
      <c r="I97" s="141">
        <v>7275</v>
      </c>
      <c r="J97" s="126">
        <v>7425</v>
      </c>
      <c r="K97" s="89">
        <v>7560</v>
      </c>
      <c r="L97" s="89">
        <v>7560</v>
      </c>
      <c r="M97" s="98">
        <v>7560</v>
      </c>
      <c r="N97" s="98">
        <v>7560</v>
      </c>
      <c r="O97" s="71">
        <f>SUM(O92:O96)</f>
        <v>615755</v>
      </c>
      <c r="P97" s="156">
        <v>6390</v>
      </c>
      <c r="Q97" s="156">
        <v>6390</v>
      </c>
      <c r="R97" s="156">
        <v>6390</v>
      </c>
      <c r="S97" s="156">
        <v>6390</v>
      </c>
      <c r="T97" s="156">
        <v>6390</v>
      </c>
      <c r="U97" s="156">
        <v>6390</v>
      </c>
      <c r="V97" s="273">
        <v>6390</v>
      </c>
      <c r="W97" s="273">
        <v>6390</v>
      </c>
      <c r="X97" s="273">
        <v>6390</v>
      </c>
      <c r="Y97" s="273">
        <v>6390</v>
      </c>
      <c r="Z97" s="273">
        <v>6405</v>
      </c>
      <c r="AA97" s="273">
        <f>+Z97+(15*6)</f>
        <v>6495</v>
      </c>
      <c r="AB97" s="71">
        <f>SUM(AB95:AB96)</f>
        <v>52730</v>
      </c>
      <c r="AC97" s="397">
        <v>256</v>
      </c>
      <c r="AD97" s="279">
        <v>256</v>
      </c>
      <c r="AE97" s="280">
        <v>256</v>
      </c>
      <c r="AF97" s="273">
        <v>256</v>
      </c>
      <c r="AG97" s="280">
        <v>3072</v>
      </c>
      <c r="AH97" s="280">
        <v>256</v>
      </c>
      <c r="AI97" s="280">
        <v>256</v>
      </c>
      <c r="AJ97" s="273">
        <v>3503</v>
      </c>
      <c r="AK97" s="273">
        <v>0</v>
      </c>
      <c r="AL97" s="273">
        <v>0</v>
      </c>
      <c r="AM97" s="273"/>
      <c r="AN97" s="273"/>
    </row>
    <row r="98" spans="1:40" x14ac:dyDescent="0.25">
      <c r="A98" s="459"/>
      <c r="B98" s="75">
        <v>43</v>
      </c>
      <c r="C98" s="76" t="s">
        <v>159</v>
      </c>
      <c r="D98" s="89">
        <v>0</v>
      </c>
      <c r="E98" s="89">
        <v>0</v>
      </c>
      <c r="F98" s="89">
        <v>0</v>
      </c>
      <c r="G98" s="102">
        <v>0</v>
      </c>
      <c r="H98" s="89">
        <v>0</v>
      </c>
      <c r="I98" s="141">
        <v>0</v>
      </c>
      <c r="J98" s="126">
        <v>0</v>
      </c>
      <c r="K98" s="89">
        <v>0</v>
      </c>
      <c r="L98" s="89">
        <v>0</v>
      </c>
      <c r="M98" s="98">
        <v>0</v>
      </c>
      <c r="N98" s="98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273">
        <v>0</v>
      </c>
      <c r="W98" s="273">
        <v>0</v>
      </c>
      <c r="X98" s="273">
        <v>0</v>
      </c>
      <c r="Y98" s="273">
        <v>0</v>
      </c>
      <c r="Z98" s="273">
        <v>0</v>
      </c>
      <c r="AA98" s="273">
        <v>0</v>
      </c>
      <c r="AB98" s="179"/>
      <c r="AC98" s="274">
        <v>0</v>
      </c>
      <c r="AD98" s="279">
        <v>0</v>
      </c>
      <c r="AE98" s="280">
        <v>0</v>
      </c>
      <c r="AF98" s="273">
        <v>0</v>
      </c>
      <c r="AG98" s="273">
        <v>0</v>
      </c>
      <c r="AH98" s="280">
        <v>0</v>
      </c>
      <c r="AI98" s="280">
        <v>0</v>
      </c>
      <c r="AJ98" s="273">
        <v>0</v>
      </c>
      <c r="AK98" s="273">
        <v>0</v>
      </c>
      <c r="AL98" s="273">
        <v>0</v>
      </c>
      <c r="AM98" s="273"/>
      <c r="AN98" s="273"/>
    </row>
    <row r="99" spans="1:40" x14ac:dyDescent="0.25">
      <c r="A99" s="459"/>
      <c r="B99" s="75">
        <v>44</v>
      </c>
      <c r="C99" s="76" t="s">
        <v>160</v>
      </c>
      <c r="D99" s="89">
        <v>0</v>
      </c>
      <c r="E99" s="89">
        <v>0</v>
      </c>
      <c r="F99" s="89">
        <v>0</v>
      </c>
      <c r="G99" s="102">
        <v>0</v>
      </c>
      <c r="H99" s="89">
        <v>0</v>
      </c>
      <c r="I99" s="141">
        <v>0</v>
      </c>
      <c r="J99" s="126">
        <v>0</v>
      </c>
      <c r="K99" s="89">
        <v>0</v>
      </c>
      <c r="L99" s="89">
        <v>0</v>
      </c>
      <c r="M99" s="98">
        <v>0</v>
      </c>
      <c r="N99" s="98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273">
        <v>0</v>
      </c>
      <c r="W99" s="273">
        <v>0</v>
      </c>
      <c r="X99" s="273">
        <v>0</v>
      </c>
      <c r="Y99" s="273">
        <v>0</v>
      </c>
      <c r="Z99" s="273">
        <v>0</v>
      </c>
      <c r="AA99" s="273">
        <v>0</v>
      </c>
      <c r="AC99" s="274">
        <v>0</v>
      </c>
      <c r="AD99" s="273">
        <v>0</v>
      </c>
      <c r="AE99" s="280">
        <v>0</v>
      </c>
      <c r="AF99" s="273">
        <v>0</v>
      </c>
      <c r="AG99" s="273">
        <v>0</v>
      </c>
      <c r="AH99" s="280">
        <v>0</v>
      </c>
      <c r="AI99" s="279">
        <v>0</v>
      </c>
      <c r="AJ99" s="273">
        <v>0</v>
      </c>
      <c r="AK99" s="273">
        <v>0</v>
      </c>
      <c r="AL99" s="273">
        <v>0</v>
      </c>
      <c r="AM99" s="273"/>
      <c r="AN99" s="273"/>
    </row>
    <row r="100" spans="1:40" x14ac:dyDescent="0.25">
      <c r="A100" s="459"/>
      <c r="B100" s="75">
        <v>45</v>
      </c>
      <c r="C100" s="76" t="s">
        <v>161</v>
      </c>
      <c r="D100" s="89">
        <v>0</v>
      </c>
      <c r="E100" s="89">
        <v>0</v>
      </c>
      <c r="F100" s="89">
        <v>0</v>
      </c>
      <c r="G100" s="102">
        <v>0</v>
      </c>
      <c r="H100" s="89">
        <v>0</v>
      </c>
      <c r="I100" s="141">
        <v>0</v>
      </c>
      <c r="J100" s="126">
        <v>0</v>
      </c>
      <c r="K100" s="89">
        <v>0</v>
      </c>
      <c r="L100" s="89">
        <v>0</v>
      </c>
      <c r="M100" s="98">
        <v>0</v>
      </c>
      <c r="N100" s="98">
        <v>0</v>
      </c>
      <c r="O100" s="71">
        <f>+O96+11925</f>
        <v>24117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273">
        <v>0</v>
      </c>
      <c r="W100" s="273">
        <v>0</v>
      </c>
      <c r="X100" s="273">
        <v>0</v>
      </c>
      <c r="Y100" s="273">
        <v>0</v>
      </c>
      <c r="Z100" s="273">
        <v>0</v>
      </c>
      <c r="AA100" s="273">
        <v>0</v>
      </c>
      <c r="AC100" s="274">
        <v>0</v>
      </c>
      <c r="AD100" s="273">
        <v>0</v>
      </c>
      <c r="AE100" s="279">
        <v>0</v>
      </c>
      <c r="AF100" s="273">
        <v>0</v>
      </c>
      <c r="AG100" s="273">
        <v>0</v>
      </c>
      <c r="AH100" s="273">
        <v>0</v>
      </c>
      <c r="AI100" s="279">
        <v>0</v>
      </c>
      <c r="AJ100" s="273">
        <v>0</v>
      </c>
      <c r="AK100" s="273">
        <v>0</v>
      </c>
      <c r="AL100" s="273">
        <v>0</v>
      </c>
      <c r="AM100" s="273"/>
      <c r="AN100" s="273"/>
    </row>
    <row r="101" spans="1:40" x14ac:dyDescent="0.25">
      <c r="A101" s="459"/>
      <c r="B101" s="75">
        <v>46</v>
      </c>
      <c r="C101" s="76" t="s">
        <v>162</v>
      </c>
      <c r="D101" s="89">
        <v>0</v>
      </c>
      <c r="E101" s="89">
        <v>0</v>
      </c>
      <c r="F101" s="89">
        <v>0</v>
      </c>
      <c r="G101" s="102">
        <v>0</v>
      </c>
      <c r="H101" s="89">
        <v>0</v>
      </c>
      <c r="I101" s="141">
        <v>0</v>
      </c>
      <c r="J101" s="126">
        <v>0</v>
      </c>
      <c r="K101" s="89">
        <v>0</v>
      </c>
      <c r="L101" s="89">
        <v>0</v>
      </c>
      <c r="M101" s="98">
        <v>0</v>
      </c>
      <c r="N101" s="98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273">
        <v>0</v>
      </c>
      <c r="W101" s="273">
        <v>0</v>
      </c>
      <c r="X101" s="273">
        <v>0</v>
      </c>
      <c r="Y101" s="273">
        <v>0</v>
      </c>
      <c r="Z101" s="273">
        <v>0</v>
      </c>
      <c r="AA101" s="273">
        <v>0</v>
      </c>
      <c r="AC101" s="274">
        <v>0</v>
      </c>
      <c r="AD101" s="273">
        <v>0</v>
      </c>
      <c r="AE101" s="279">
        <v>0</v>
      </c>
      <c r="AF101" s="273">
        <v>0</v>
      </c>
      <c r="AG101" s="273">
        <v>0</v>
      </c>
      <c r="AH101" s="273">
        <v>0</v>
      </c>
      <c r="AI101" s="279">
        <v>0</v>
      </c>
      <c r="AJ101" s="273">
        <v>0</v>
      </c>
      <c r="AK101" s="273">
        <v>0</v>
      </c>
      <c r="AL101" s="273">
        <v>0</v>
      </c>
      <c r="AM101" s="273"/>
      <c r="AN101" s="273"/>
    </row>
    <row r="102" spans="1:40" x14ac:dyDescent="0.25">
      <c r="A102" s="459"/>
      <c r="B102" s="75">
        <v>47</v>
      </c>
      <c r="C102" s="76" t="s">
        <v>163</v>
      </c>
      <c r="D102" s="102" t="s">
        <v>164</v>
      </c>
      <c r="E102" s="102">
        <v>520</v>
      </c>
      <c r="F102" s="102">
        <v>470</v>
      </c>
      <c r="G102" s="102">
        <v>450</v>
      </c>
      <c r="H102" s="102">
        <v>250</v>
      </c>
      <c r="I102" s="141">
        <v>310</v>
      </c>
      <c r="J102" s="126">
        <v>270</v>
      </c>
      <c r="K102" s="89">
        <v>100</v>
      </c>
      <c r="L102" s="89">
        <v>0</v>
      </c>
      <c r="M102" s="98">
        <v>0</v>
      </c>
      <c r="N102" s="98">
        <v>0</v>
      </c>
      <c r="O102" s="71">
        <f>+O103/12</f>
        <v>24061.333333333332</v>
      </c>
      <c r="P102" s="156">
        <v>0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273">
        <v>0</v>
      </c>
      <c r="W102" s="273">
        <v>0</v>
      </c>
      <c r="X102" s="273">
        <v>0</v>
      </c>
      <c r="Y102" s="273">
        <v>0</v>
      </c>
      <c r="Z102" s="273">
        <v>0</v>
      </c>
      <c r="AA102" s="273">
        <v>0</v>
      </c>
      <c r="AC102" s="274">
        <f>116*10</f>
        <v>1160</v>
      </c>
      <c r="AD102" s="273">
        <v>1180</v>
      </c>
      <c r="AE102" s="273">
        <v>1660</v>
      </c>
      <c r="AF102" s="273">
        <v>1640</v>
      </c>
      <c r="AG102" s="273">
        <v>1320</v>
      </c>
      <c r="AH102" s="273">
        <v>960</v>
      </c>
      <c r="AI102" s="279">
        <v>1040</v>
      </c>
      <c r="AJ102" s="273">
        <v>1000</v>
      </c>
      <c r="AK102" s="273">
        <v>920</v>
      </c>
      <c r="AL102" s="273">
        <v>1060</v>
      </c>
      <c r="AM102" s="273">
        <v>520</v>
      </c>
      <c r="AN102" s="273"/>
    </row>
    <row r="103" spans="1:40" x14ac:dyDescent="0.2">
      <c r="A103" s="459"/>
      <c r="B103" s="75">
        <v>48</v>
      </c>
      <c r="C103" s="76" t="s">
        <v>32</v>
      </c>
      <c r="D103" s="106">
        <v>346441.36</v>
      </c>
      <c r="E103" s="106">
        <v>118346</v>
      </c>
      <c r="F103" s="106">
        <v>78880</v>
      </c>
      <c r="G103" s="102">
        <f>+G105+G106+G107+G108+G109</f>
        <v>109190</v>
      </c>
      <c r="H103" s="142">
        <f>+H105+H106+H108+H109</f>
        <v>159541</v>
      </c>
      <c r="I103" s="141">
        <f>+I105+I106+I107+I108+I109</f>
        <v>51162</v>
      </c>
      <c r="J103" s="126">
        <f>+J105+J106+J107+J108+J109</f>
        <v>193001</v>
      </c>
      <c r="K103" s="89">
        <f>+K105+K106+K107+K108+K109</f>
        <v>108527</v>
      </c>
      <c r="L103" s="89">
        <f>+L105+L106+L107+L108+L109</f>
        <v>64947</v>
      </c>
      <c r="M103" s="98">
        <f>+M105+M106+M107+M108+M109</f>
        <v>166371</v>
      </c>
      <c r="N103" s="98">
        <f>+N105+N106+N108</f>
        <v>122365</v>
      </c>
      <c r="O103" s="100">
        <f>SUM(M103:N103)</f>
        <v>288736</v>
      </c>
      <c r="P103" s="156">
        <f>+P105+P106+P108</f>
        <v>81568</v>
      </c>
      <c r="Q103" s="156">
        <f>+Q105+Q106+Q107+Q108</f>
        <v>96552</v>
      </c>
      <c r="R103" s="156">
        <f>+R105+R106+R107+R108+R109</f>
        <v>176619</v>
      </c>
      <c r="S103" s="156">
        <f>+S105+S106+S107+S108+S109</f>
        <v>156289</v>
      </c>
      <c r="T103" s="156">
        <v>148433</v>
      </c>
      <c r="U103" s="156">
        <v>123231</v>
      </c>
      <c r="V103" s="273">
        <v>69969</v>
      </c>
      <c r="W103" s="273">
        <v>79430</v>
      </c>
      <c r="X103" s="273">
        <v>116158</v>
      </c>
      <c r="Y103" s="281">
        <v>127880</v>
      </c>
      <c r="Z103" s="273">
        <v>83677</v>
      </c>
      <c r="AA103" s="273">
        <v>98579</v>
      </c>
      <c r="AC103" s="273">
        <v>143980</v>
      </c>
      <c r="AD103" s="273">
        <v>115249</v>
      </c>
      <c r="AE103" s="273">
        <v>139309</v>
      </c>
      <c r="AF103" s="273">
        <v>123037</v>
      </c>
      <c r="AG103" s="273">
        <v>109148</v>
      </c>
      <c r="AH103" s="273">
        <v>102987</v>
      </c>
      <c r="AI103" s="279">
        <v>177697</v>
      </c>
      <c r="AJ103" s="273">
        <v>138732</v>
      </c>
      <c r="AK103" s="273">
        <v>80098</v>
      </c>
      <c r="AL103" s="279">
        <v>31825</v>
      </c>
      <c r="AM103" s="280">
        <v>65856</v>
      </c>
      <c r="AN103" s="273"/>
    </row>
    <row r="104" spans="1:40" x14ac:dyDescent="0.25">
      <c r="A104" s="459"/>
      <c r="B104" s="75">
        <v>49</v>
      </c>
      <c r="C104" s="76" t="s">
        <v>165</v>
      </c>
      <c r="D104" s="89">
        <v>913</v>
      </c>
      <c r="E104" s="143">
        <v>270</v>
      </c>
      <c r="F104" s="143">
        <v>335</v>
      </c>
      <c r="G104" s="102">
        <v>531</v>
      </c>
      <c r="H104" s="89">
        <v>456</v>
      </c>
      <c r="I104" s="141">
        <v>178</v>
      </c>
      <c r="J104" s="126">
        <v>532</v>
      </c>
      <c r="K104" s="89">
        <v>387</v>
      </c>
      <c r="L104" s="89">
        <v>280</v>
      </c>
      <c r="M104" s="98">
        <v>669</v>
      </c>
      <c r="N104" s="98">
        <v>391</v>
      </c>
      <c r="P104" s="156">
        <v>187</v>
      </c>
      <c r="Q104" s="156">
        <v>246</v>
      </c>
      <c r="R104" s="156">
        <v>441</v>
      </c>
      <c r="S104" s="156">
        <v>389</v>
      </c>
      <c r="T104" s="156">
        <v>306</v>
      </c>
      <c r="U104" s="156">
        <v>271</v>
      </c>
      <c r="V104" s="273">
        <v>200</v>
      </c>
      <c r="W104" s="273">
        <v>218</v>
      </c>
      <c r="X104" s="273">
        <v>258</v>
      </c>
      <c r="Y104" s="273">
        <v>313</v>
      </c>
      <c r="Z104" s="273">
        <v>171</v>
      </c>
      <c r="AA104" s="273">
        <v>298</v>
      </c>
      <c r="AC104" s="273">
        <v>285</v>
      </c>
      <c r="AD104" s="273">
        <v>239</v>
      </c>
      <c r="AE104" s="273">
        <v>288</v>
      </c>
      <c r="AF104" s="273">
        <v>217</v>
      </c>
      <c r="AG104" s="273">
        <v>185</v>
      </c>
      <c r="AH104" s="273">
        <v>161</v>
      </c>
      <c r="AI104" s="273">
        <v>278</v>
      </c>
      <c r="AJ104" s="273">
        <v>224</v>
      </c>
      <c r="AK104" s="273">
        <v>282</v>
      </c>
      <c r="AL104" s="279">
        <v>605</v>
      </c>
      <c r="AM104" s="280">
        <v>631</v>
      </c>
      <c r="AN104" s="273"/>
    </row>
    <row r="105" spans="1:40" x14ac:dyDescent="0.25">
      <c r="A105" s="459"/>
      <c r="B105" s="75">
        <v>50</v>
      </c>
      <c r="C105" s="76" t="s">
        <v>166</v>
      </c>
      <c r="D105" s="106">
        <v>303500.23</v>
      </c>
      <c r="E105" s="106">
        <v>102530</v>
      </c>
      <c r="F105" s="106">
        <v>70402</v>
      </c>
      <c r="G105" s="102">
        <v>90370</v>
      </c>
      <c r="H105" s="89">
        <v>149559</v>
      </c>
      <c r="I105" s="141">
        <v>46820</v>
      </c>
      <c r="J105" s="126">
        <v>173401</v>
      </c>
      <c r="K105" s="89">
        <v>103692</v>
      </c>
      <c r="L105" s="89">
        <v>61473</v>
      </c>
      <c r="M105" s="98">
        <v>146737</v>
      </c>
      <c r="N105" s="98">
        <v>101742</v>
      </c>
      <c r="P105" s="156">
        <v>66175</v>
      </c>
      <c r="Q105" s="156">
        <v>80983</v>
      </c>
      <c r="R105" s="156">
        <v>153558</v>
      </c>
      <c r="S105" s="156">
        <v>136799</v>
      </c>
      <c r="T105" s="156">
        <f>+T103-T106-T108</f>
        <v>129298</v>
      </c>
      <c r="U105" s="156">
        <f>+U103-U106-U108</f>
        <v>104799</v>
      </c>
      <c r="V105" s="273">
        <f>+V103-V106-V107-V108</f>
        <v>53526</v>
      </c>
      <c r="W105" s="273">
        <f>+W103-W106-W108</f>
        <v>61880</v>
      </c>
      <c r="X105" s="273">
        <f>+X103-X106-X107-X108</f>
        <v>97647</v>
      </c>
      <c r="Y105" s="282">
        <f>+Y103-Y106-Y108</f>
        <v>117339</v>
      </c>
      <c r="Z105" s="273">
        <f>+Z103-Z106-Z108</f>
        <v>71895</v>
      </c>
      <c r="AA105" s="273">
        <f>+AA103+AA106+AA108</f>
        <v>102883</v>
      </c>
      <c r="AC105" s="273">
        <v>128488</v>
      </c>
      <c r="AD105" s="273">
        <f t="shared" ref="AD105:AJ105" si="0">+AD103-AD106-AD108</f>
        <v>98258</v>
      </c>
      <c r="AE105" s="273">
        <f t="shared" si="0"/>
        <v>122901</v>
      </c>
      <c r="AF105" s="273">
        <f t="shared" si="0"/>
        <v>103781</v>
      </c>
      <c r="AG105" s="273">
        <f t="shared" si="0"/>
        <v>88863</v>
      </c>
      <c r="AH105" s="273">
        <f t="shared" si="0"/>
        <v>82175</v>
      </c>
      <c r="AI105" s="273">
        <f t="shared" si="0"/>
        <v>154204</v>
      </c>
      <c r="AJ105" s="273">
        <f t="shared" si="0"/>
        <v>114606</v>
      </c>
      <c r="AK105" s="273">
        <f>+AK103-AK108-AK106</f>
        <v>56009</v>
      </c>
      <c r="AL105" s="273">
        <v>26960</v>
      </c>
      <c r="AM105" s="273">
        <v>42265</v>
      </c>
      <c r="AN105" s="273"/>
    </row>
    <row r="106" spans="1:40" x14ac:dyDescent="0.25">
      <c r="A106" s="459"/>
      <c r="B106" s="75">
        <v>51</v>
      </c>
      <c r="C106" s="76" t="s">
        <v>167</v>
      </c>
      <c r="D106" s="106">
        <v>14870.13</v>
      </c>
      <c r="E106" s="106">
        <v>7148</v>
      </c>
      <c r="F106" s="106">
        <v>7380</v>
      </c>
      <c r="G106" s="102">
        <v>5360</v>
      </c>
      <c r="H106" s="89">
        <v>7623</v>
      </c>
      <c r="I106" s="141">
        <v>2239</v>
      </c>
      <c r="J106" s="126">
        <v>5949</v>
      </c>
      <c r="K106" s="89">
        <v>2809</v>
      </c>
      <c r="L106" s="89">
        <v>2261</v>
      </c>
      <c r="M106" s="98">
        <v>4840</v>
      </c>
      <c r="N106" s="98">
        <v>5661</v>
      </c>
      <c r="P106" s="156">
        <v>2021</v>
      </c>
      <c r="Q106" s="156">
        <v>1789</v>
      </c>
      <c r="R106" s="156">
        <v>8904</v>
      </c>
      <c r="S106" s="156">
        <v>5690</v>
      </c>
      <c r="T106" s="156">
        <v>4568</v>
      </c>
      <c r="U106" s="156">
        <v>3980</v>
      </c>
      <c r="V106" s="273">
        <v>1567</v>
      </c>
      <c r="W106" s="273">
        <f>+V106+467</f>
        <v>2034</v>
      </c>
      <c r="X106" s="273">
        <v>2345</v>
      </c>
      <c r="Y106" s="273">
        <v>2876</v>
      </c>
      <c r="Z106" s="273">
        <v>1678</v>
      </c>
      <c r="AA106" s="273">
        <v>3330</v>
      </c>
      <c r="AC106" s="156">
        <v>2890</v>
      </c>
      <c r="AD106" s="156">
        <v>3420</v>
      </c>
      <c r="AE106" s="156">
        <v>1569</v>
      </c>
      <c r="AF106" s="156">
        <v>2561</v>
      </c>
      <c r="AG106" s="156">
        <v>1539</v>
      </c>
      <c r="AH106" s="156">
        <v>1890</v>
      </c>
      <c r="AI106" s="273">
        <v>2014</v>
      </c>
      <c r="AJ106" s="273">
        <v>1896</v>
      </c>
      <c r="AK106" s="273">
        <v>1300</v>
      </c>
      <c r="AL106" s="273">
        <v>2401</v>
      </c>
      <c r="AM106" s="273">
        <v>4395</v>
      </c>
      <c r="AN106" s="273"/>
    </row>
    <row r="107" spans="1:40" x14ac:dyDescent="0.25">
      <c r="A107" s="459"/>
      <c r="B107" s="75">
        <v>52</v>
      </c>
      <c r="C107" s="76" t="s">
        <v>168</v>
      </c>
      <c r="D107" s="106">
        <v>0</v>
      </c>
      <c r="E107" s="106">
        <v>0</v>
      </c>
      <c r="F107" s="106">
        <v>0</v>
      </c>
      <c r="G107" s="102">
        <v>0</v>
      </c>
      <c r="H107" s="89">
        <v>0</v>
      </c>
      <c r="I107" s="141">
        <v>0</v>
      </c>
      <c r="J107" s="126">
        <v>0</v>
      </c>
      <c r="K107" s="89">
        <v>0</v>
      </c>
      <c r="L107" s="89">
        <v>0</v>
      </c>
      <c r="M107" s="98">
        <v>0</v>
      </c>
      <c r="N107" s="98">
        <v>0</v>
      </c>
      <c r="P107" s="156">
        <v>0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273">
        <v>0</v>
      </c>
      <c r="W107" s="273">
        <v>0</v>
      </c>
      <c r="X107" s="273">
        <v>0</v>
      </c>
      <c r="Y107" s="273">
        <v>0</v>
      </c>
      <c r="Z107" s="273">
        <v>0</v>
      </c>
      <c r="AA107" s="273">
        <v>0</v>
      </c>
      <c r="AC107" s="156">
        <v>0</v>
      </c>
      <c r="AD107" s="156">
        <v>0</v>
      </c>
      <c r="AE107" s="156">
        <v>0</v>
      </c>
      <c r="AF107" s="156">
        <v>0</v>
      </c>
      <c r="AG107" s="156">
        <v>0</v>
      </c>
      <c r="AH107" s="156">
        <v>0</v>
      </c>
      <c r="AI107" s="273">
        <v>0</v>
      </c>
      <c r="AJ107" s="273">
        <v>0</v>
      </c>
      <c r="AK107" s="273">
        <v>0</v>
      </c>
      <c r="AL107" s="273">
        <v>0</v>
      </c>
      <c r="AM107" s="273">
        <v>0</v>
      </c>
      <c r="AN107" s="273"/>
    </row>
    <row r="108" spans="1:40" x14ac:dyDescent="0.25">
      <c r="A108" s="459"/>
      <c r="B108" s="75">
        <v>53</v>
      </c>
      <c r="C108" s="76" t="s">
        <v>169</v>
      </c>
      <c r="D108" s="106">
        <v>15755</v>
      </c>
      <c r="E108" s="106">
        <v>8668</v>
      </c>
      <c r="F108" s="106">
        <v>823</v>
      </c>
      <c r="G108" s="102">
        <v>13184</v>
      </c>
      <c r="H108" s="89">
        <v>722</v>
      </c>
      <c r="I108" s="141">
        <v>326</v>
      </c>
      <c r="J108" s="126">
        <v>11174</v>
      </c>
      <c r="K108" s="89">
        <v>1185</v>
      </c>
      <c r="L108" s="89">
        <v>653</v>
      </c>
      <c r="M108" s="98">
        <v>13949</v>
      </c>
      <c r="N108" s="98">
        <v>14962</v>
      </c>
      <c r="P108" s="156">
        <v>13372</v>
      </c>
      <c r="Q108" s="156">
        <v>13780</v>
      </c>
      <c r="R108" s="156">
        <v>13598</v>
      </c>
      <c r="S108" s="156">
        <v>13800</v>
      </c>
      <c r="T108" s="156">
        <v>14567</v>
      </c>
      <c r="U108" s="156">
        <v>14452</v>
      </c>
      <c r="V108" s="273">
        <v>14876</v>
      </c>
      <c r="W108" s="273">
        <f>+V108+640</f>
        <v>15516</v>
      </c>
      <c r="X108" s="273">
        <f>+W108+650</f>
        <v>16166</v>
      </c>
      <c r="Y108" s="273">
        <v>7665</v>
      </c>
      <c r="Z108" s="273">
        <v>10104</v>
      </c>
      <c r="AA108" s="273">
        <v>974</v>
      </c>
      <c r="AC108" s="156">
        <v>12602</v>
      </c>
      <c r="AD108" s="156">
        <v>13571</v>
      </c>
      <c r="AE108" s="156">
        <v>14839</v>
      </c>
      <c r="AF108" s="156">
        <v>16695</v>
      </c>
      <c r="AG108" s="156">
        <v>18746</v>
      </c>
      <c r="AH108" s="156">
        <v>18922</v>
      </c>
      <c r="AI108" s="273">
        <v>21479</v>
      </c>
      <c r="AJ108" s="273">
        <v>22230</v>
      </c>
      <c r="AK108" s="273">
        <v>22789</v>
      </c>
      <c r="AL108" s="273">
        <v>2465</v>
      </c>
      <c r="AM108" s="273">
        <v>17378</v>
      </c>
      <c r="AN108" s="273"/>
    </row>
    <row r="109" spans="1:40" x14ac:dyDescent="0.25">
      <c r="A109" s="459"/>
      <c r="B109" s="75">
        <v>54</v>
      </c>
      <c r="C109" s="76" t="s">
        <v>170</v>
      </c>
      <c r="D109" s="106">
        <v>12316</v>
      </c>
      <c r="E109" s="106">
        <v>0</v>
      </c>
      <c r="F109" s="106">
        <v>275</v>
      </c>
      <c r="G109" s="102">
        <v>276</v>
      </c>
      <c r="H109" s="89">
        <v>1637</v>
      </c>
      <c r="I109" s="141">
        <v>1777</v>
      </c>
      <c r="J109" s="126">
        <v>2477</v>
      </c>
      <c r="K109" s="89">
        <v>841</v>
      </c>
      <c r="L109" s="89">
        <v>560</v>
      </c>
      <c r="M109" s="98">
        <v>845</v>
      </c>
      <c r="N109" s="98">
        <v>0</v>
      </c>
      <c r="P109" s="156">
        <v>0</v>
      </c>
      <c r="Q109" s="156">
        <v>0</v>
      </c>
      <c r="R109" s="156">
        <v>559</v>
      </c>
      <c r="S109" s="156">
        <v>0</v>
      </c>
      <c r="T109" s="156">
        <v>0</v>
      </c>
      <c r="U109" s="156">
        <v>0</v>
      </c>
      <c r="V109" s="273">
        <v>0</v>
      </c>
      <c r="W109" s="273">
        <v>0</v>
      </c>
      <c r="X109" s="273"/>
      <c r="Y109" s="273"/>
      <c r="Z109" s="273"/>
      <c r="AA109" s="273"/>
      <c r="AC109" s="156">
        <v>0</v>
      </c>
      <c r="AD109" s="156">
        <v>0</v>
      </c>
      <c r="AE109" s="156">
        <v>0</v>
      </c>
      <c r="AF109" s="156">
        <v>0</v>
      </c>
      <c r="AG109" s="156">
        <v>0</v>
      </c>
      <c r="AH109" s="156">
        <v>0</v>
      </c>
      <c r="AI109" s="273"/>
      <c r="AJ109" s="273"/>
      <c r="AK109" s="273">
        <v>0</v>
      </c>
      <c r="AL109" s="273">
        <v>0</v>
      </c>
      <c r="AM109" s="273">
        <v>1818</v>
      </c>
      <c r="AN109" s="273"/>
    </row>
    <row r="110" spans="1:40" s="92" customFormat="1" x14ac:dyDescent="0.25">
      <c r="A110" s="326"/>
      <c r="B110" s="326"/>
      <c r="C110" s="327"/>
      <c r="D110" s="328"/>
      <c r="E110" s="329"/>
      <c r="F110" s="329"/>
      <c r="G110" s="329"/>
      <c r="H110" s="329"/>
      <c r="I110" s="329"/>
      <c r="J110" s="330"/>
      <c r="K110" s="331"/>
      <c r="L110" s="332"/>
      <c r="M110" s="332"/>
      <c r="N110" s="332"/>
      <c r="P110" s="332">
        <f t="shared" ref="P110:AA110" si="1">SUM(P92:P97)</f>
        <v>45938</v>
      </c>
      <c r="Q110" s="332">
        <f t="shared" si="1"/>
        <v>59661</v>
      </c>
      <c r="R110" s="332">
        <f t="shared" si="1"/>
        <v>64289</v>
      </c>
      <c r="S110" s="332">
        <f t="shared" si="1"/>
        <v>62763</v>
      </c>
      <c r="T110" s="332">
        <f t="shared" si="1"/>
        <v>68766</v>
      </c>
      <c r="U110" s="332">
        <f t="shared" si="1"/>
        <v>62541</v>
      </c>
      <c r="V110" s="332">
        <f t="shared" si="1"/>
        <v>59108</v>
      </c>
      <c r="W110" s="332">
        <f t="shared" si="1"/>
        <v>72218</v>
      </c>
      <c r="X110" s="332">
        <f t="shared" si="1"/>
        <v>60473</v>
      </c>
      <c r="Y110" s="332">
        <f t="shared" si="1"/>
        <v>61161</v>
      </c>
      <c r="Z110" s="332">
        <f t="shared" si="1"/>
        <v>57601</v>
      </c>
      <c r="AA110" s="332">
        <f t="shared" si="1"/>
        <v>56452</v>
      </c>
      <c r="AC110" s="332"/>
      <c r="AD110" s="332"/>
      <c r="AE110" s="332"/>
      <c r="AF110" s="332"/>
      <c r="AG110" s="332"/>
      <c r="AH110" s="332"/>
      <c r="AI110" s="332"/>
      <c r="AJ110" s="332"/>
      <c r="AK110" s="332"/>
      <c r="AL110" s="332"/>
      <c r="AN110" s="332"/>
    </row>
    <row r="111" spans="1:40" x14ac:dyDescent="0.25">
      <c r="A111" s="460" t="s">
        <v>171</v>
      </c>
      <c r="B111" s="75">
        <v>1</v>
      </c>
      <c r="C111" s="103" t="s">
        <v>172</v>
      </c>
      <c r="D111" s="89">
        <v>20</v>
      </c>
      <c r="E111" s="89">
        <v>20</v>
      </c>
      <c r="F111" s="89">
        <v>20</v>
      </c>
      <c r="G111" s="89">
        <v>20</v>
      </c>
      <c r="H111" s="89">
        <v>20</v>
      </c>
      <c r="I111" s="141">
        <v>20</v>
      </c>
      <c r="J111" s="126">
        <v>20</v>
      </c>
      <c r="K111" s="89">
        <v>20</v>
      </c>
      <c r="L111" s="88">
        <v>20</v>
      </c>
      <c r="M111" s="88">
        <v>20</v>
      </c>
      <c r="N111" s="88">
        <v>20</v>
      </c>
      <c r="P111" s="156">
        <v>19</v>
      </c>
      <c r="Q111" s="156">
        <v>19</v>
      </c>
      <c r="R111" s="156">
        <v>19</v>
      </c>
      <c r="S111" s="156">
        <v>19</v>
      </c>
      <c r="T111" s="156">
        <v>20</v>
      </c>
      <c r="U111" s="156">
        <v>20</v>
      </c>
      <c r="V111" s="276">
        <v>20</v>
      </c>
      <c r="W111" s="273">
        <v>20</v>
      </c>
      <c r="X111" s="273">
        <v>20</v>
      </c>
      <c r="Y111" s="273">
        <v>20</v>
      </c>
      <c r="Z111" s="273">
        <v>20</v>
      </c>
      <c r="AA111" s="273">
        <v>20</v>
      </c>
      <c r="AC111" s="156">
        <v>20</v>
      </c>
      <c r="AD111" s="156">
        <v>22</v>
      </c>
      <c r="AE111" s="156">
        <v>21</v>
      </c>
      <c r="AF111" s="156">
        <v>21</v>
      </c>
      <c r="AG111" s="170">
        <v>18</v>
      </c>
      <c r="AH111" s="156">
        <v>17</v>
      </c>
      <c r="AI111" s="276">
        <v>17</v>
      </c>
      <c r="AJ111" s="273">
        <v>17</v>
      </c>
      <c r="AK111" s="273">
        <v>17</v>
      </c>
      <c r="AL111" s="273">
        <v>17</v>
      </c>
      <c r="AN111" s="273"/>
    </row>
    <row r="112" spans="1:40" x14ac:dyDescent="0.25">
      <c r="A112" s="460"/>
      <c r="B112" s="75">
        <v>2</v>
      </c>
      <c r="C112" s="103" t="s">
        <v>173</v>
      </c>
      <c r="D112" s="89">
        <v>11</v>
      </c>
      <c r="E112" s="89">
        <v>11</v>
      </c>
      <c r="F112" s="89">
        <v>11</v>
      </c>
      <c r="G112" s="89">
        <v>11</v>
      </c>
      <c r="H112" s="89">
        <v>11</v>
      </c>
      <c r="I112" s="141">
        <v>11</v>
      </c>
      <c r="J112" s="126">
        <v>11</v>
      </c>
      <c r="K112" s="89">
        <v>11</v>
      </c>
      <c r="L112" s="88">
        <v>11</v>
      </c>
      <c r="M112" s="88">
        <v>11</v>
      </c>
      <c r="N112" s="88">
        <v>11</v>
      </c>
      <c r="P112" s="156">
        <v>9</v>
      </c>
      <c r="Q112" s="156">
        <v>9</v>
      </c>
      <c r="R112" s="156">
        <v>9</v>
      </c>
      <c r="S112" s="156">
        <v>9</v>
      </c>
      <c r="T112" s="156">
        <v>9</v>
      </c>
      <c r="U112" s="156">
        <v>9</v>
      </c>
      <c r="V112" s="276">
        <v>9</v>
      </c>
      <c r="W112" s="273">
        <v>9</v>
      </c>
      <c r="X112" s="273">
        <v>11</v>
      </c>
      <c r="Y112" s="273">
        <v>11</v>
      </c>
      <c r="Z112" s="273">
        <v>11</v>
      </c>
      <c r="AA112" s="273">
        <v>11</v>
      </c>
      <c r="AC112" s="156">
        <v>9</v>
      </c>
      <c r="AD112" s="156">
        <v>9</v>
      </c>
      <c r="AE112" s="156">
        <v>9</v>
      </c>
      <c r="AF112" s="156">
        <v>9</v>
      </c>
      <c r="AG112" s="170">
        <v>12</v>
      </c>
      <c r="AH112" s="156">
        <v>12</v>
      </c>
      <c r="AI112" s="276">
        <v>12</v>
      </c>
      <c r="AJ112" s="273">
        <v>12</v>
      </c>
      <c r="AK112" s="273">
        <v>12</v>
      </c>
      <c r="AL112" s="273">
        <v>12</v>
      </c>
      <c r="AN112" s="273"/>
    </row>
    <row r="113" spans="1:40" x14ac:dyDescent="0.25">
      <c r="A113" s="460"/>
      <c r="B113" s="75">
        <v>3</v>
      </c>
      <c r="C113" s="103" t="s">
        <v>174</v>
      </c>
      <c r="D113" s="89">
        <v>1</v>
      </c>
      <c r="E113" s="89">
        <v>1</v>
      </c>
      <c r="F113" s="89">
        <v>1</v>
      </c>
      <c r="G113" s="89">
        <v>1</v>
      </c>
      <c r="H113" s="89">
        <v>1</v>
      </c>
      <c r="I113" s="141">
        <v>1</v>
      </c>
      <c r="J113" s="126">
        <v>1</v>
      </c>
      <c r="K113" s="89">
        <v>1</v>
      </c>
      <c r="L113" s="88">
        <v>1</v>
      </c>
      <c r="M113" s="88">
        <v>1</v>
      </c>
      <c r="N113" s="88">
        <v>1</v>
      </c>
      <c r="P113" s="156">
        <v>3</v>
      </c>
      <c r="Q113" s="156">
        <v>3</v>
      </c>
      <c r="R113" s="156">
        <v>3</v>
      </c>
      <c r="S113" s="156">
        <v>3</v>
      </c>
      <c r="T113" s="156">
        <v>3</v>
      </c>
      <c r="U113" s="156">
        <v>3</v>
      </c>
      <c r="V113" s="276">
        <v>3</v>
      </c>
      <c r="W113" s="273">
        <v>3</v>
      </c>
      <c r="X113" s="273">
        <v>3</v>
      </c>
      <c r="Y113" s="273">
        <v>3</v>
      </c>
      <c r="Z113" s="273">
        <v>3</v>
      </c>
      <c r="AA113" s="273">
        <v>3</v>
      </c>
      <c r="AC113" s="156">
        <v>3</v>
      </c>
      <c r="AD113" s="156">
        <v>3</v>
      </c>
      <c r="AE113" s="156">
        <v>3</v>
      </c>
      <c r="AF113" s="156">
        <v>3</v>
      </c>
      <c r="AG113" s="170">
        <v>3</v>
      </c>
      <c r="AH113" s="156">
        <v>3</v>
      </c>
      <c r="AI113" s="276">
        <v>3</v>
      </c>
      <c r="AJ113" s="273">
        <v>3</v>
      </c>
      <c r="AK113" s="273">
        <v>3</v>
      </c>
      <c r="AL113" s="273">
        <v>3</v>
      </c>
      <c r="AN113" s="273"/>
    </row>
    <row r="114" spans="1:40" x14ac:dyDescent="0.25">
      <c r="A114" s="460"/>
      <c r="B114" s="75">
        <v>4</v>
      </c>
      <c r="C114" s="103" t="s">
        <v>175</v>
      </c>
      <c r="D114" s="89">
        <v>6</v>
      </c>
      <c r="E114" s="89">
        <v>6</v>
      </c>
      <c r="F114" s="89">
        <v>6</v>
      </c>
      <c r="G114" s="89">
        <v>6</v>
      </c>
      <c r="H114" s="89">
        <v>6</v>
      </c>
      <c r="I114" s="141">
        <v>6</v>
      </c>
      <c r="J114" s="126">
        <v>6</v>
      </c>
      <c r="K114" s="89">
        <v>6</v>
      </c>
      <c r="L114" s="88">
        <v>6</v>
      </c>
      <c r="M114" s="88">
        <v>6</v>
      </c>
      <c r="N114" s="88">
        <v>6</v>
      </c>
      <c r="P114" s="156">
        <v>6</v>
      </c>
      <c r="Q114" s="156">
        <v>6</v>
      </c>
      <c r="R114" s="156">
        <v>6</v>
      </c>
      <c r="S114" s="156">
        <v>6</v>
      </c>
      <c r="T114" s="156">
        <v>6</v>
      </c>
      <c r="U114" s="156">
        <v>6</v>
      </c>
      <c r="V114" s="276">
        <v>6</v>
      </c>
      <c r="W114" s="273">
        <v>6</v>
      </c>
      <c r="X114" s="273">
        <v>6</v>
      </c>
      <c r="Y114" s="273">
        <v>6</v>
      </c>
      <c r="Z114" s="273">
        <v>6</v>
      </c>
      <c r="AA114" s="273">
        <v>6</v>
      </c>
      <c r="AC114" s="156">
        <v>6</v>
      </c>
      <c r="AD114" s="156">
        <v>6</v>
      </c>
      <c r="AE114" s="156">
        <v>6</v>
      </c>
      <c r="AF114" s="156">
        <v>6</v>
      </c>
      <c r="AG114" s="170">
        <v>6</v>
      </c>
      <c r="AH114" s="156">
        <v>6</v>
      </c>
      <c r="AI114" s="276">
        <v>6</v>
      </c>
      <c r="AJ114" s="273">
        <v>6</v>
      </c>
      <c r="AK114" s="273">
        <v>6</v>
      </c>
      <c r="AL114" s="273">
        <v>6</v>
      </c>
      <c r="AN114" s="273"/>
    </row>
    <row r="115" spans="1:40" x14ac:dyDescent="0.25">
      <c r="A115" s="460"/>
      <c r="B115" s="75">
        <v>5</v>
      </c>
      <c r="C115" s="103" t="s">
        <v>176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141">
        <v>0</v>
      </c>
      <c r="J115" s="126">
        <v>0</v>
      </c>
      <c r="K115" s="89">
        <v>0</v>
      </c>
      <c r="L115" s="88">
        <v>0</v>
      </c>
      <c r="M115" s="88">
        <v>0</v>
      </c>
      <c r="N115" s="88">
        <v>0</v>
      </c>
      <c r="P115" s="170">
        <v>0</v>
      </c>
      <c r="Q115" s="156">
        <v>0</v>
      </c>
      <c r="R115" s="170">
        <v>0</v>
      </c>
      <c r="S115" s="156">
        <v>0</v>
      </c>
      <c r="T115" s="156">
        <v>0</v>
      </c>
      <c r="U115" s="156">
        <v>0</v>
      </c>
      <c r="V115" s="276">
        <v>0</v>
      </c>
      <c r="W115" s="273">
        <v>0</v>
      </c>
      <c r="X115" s="273">
        <v>0</v>
      </c>
      <c r="Y115" s="273">
        <v>0</v>
      </c>
      <c r="Z115" s="273">
        <v>0</v>
      </c>
      <c r="AA115" s="273">
        <v>0</v>
      </c>
      <c r="AC115" s="156">
        <v>1</v>
      </c>
      <c r="AD115" s="156">
        <v>1</v>
      </c>
      <c r="AE115" s="156">
        <v>1</v>
      </c>
      <c r="AF115" s="156">
        <v>2</v>
      </c>
      <c r="AG115" s="170">
        <v>2</v>
      </c>
      <c r="AH115" s="156">
        <v>2</v>
      </c>
      <c r="AI115" s="276">
        <v>2</v>
      </c>
      <c r="AJ115" s="273">
        <v>2</v>
      </c>
      <c r="AK115" s="273">
        <v>2</v>
      </c>
      <c r="AL115" s="273">
        <v>2</v>
      </c>
      <c r="AN115" s="273"/>
    </row>
    <row r="116" spans="1:40" x14ac:dyDescent="0.25">
      <c r="A116" s="460"/>
      <c r="B116" s="75">
        <v>6</v>
      </c>
      <c r="C116" s="103" t="s">
        <v>177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141">
        <v>0</v>
      </c>
      <c r="J116" s="126">
        <v>0</v>
      </c>
      <c r="K116" s="89">
        <v>0</v>
      </c>
      <c r="L116" s="88">
        <v>0</v>
      </c>
      <c r="M116" s="88">
        <v>0</v>
      </c>
      <c r="N116" s="88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2</v>
      </c>
      <c r="V116" s="276">
        <v>3</v>
      </c>
      <c r="W116" s="273">
        <v>3</v>
      </c>
      <c r="X116" s="273">
        <v>3</v>
      </c>
      <c r="Y116" s="273">
        <v>3</v>
      </c>
      <c r="Z116" s="273">
        <v>3</v>
      </c>
      <c r="AA116" s="273">
        <v>3</v>
      </c>
      <c r="AC116" s="156">
        <v>0</v>
      </c>
      <c r="AD116" s="156">
        <v>0</v>
      </c>
      <c r="AE116" s="156">
        <v>0</v>
      </c>
      <c r="AF116" s="156">
        <v>0</v>
      </c>
      <c r="AG116" s="324">
        <v>0</v>
      </c>
      <c r="AH116" s="156">
        <v>0</v>
      </c>
      <c r="AI116" s="276">
        <v>0</v>
      </c>
      <c r="AJ116" s="273">
        <v>1</v>
      </c>
      <c r="AK116" s="273">
        <v>1</v>
      </c>
      <c r="AL116" s="273">
        <v>1</v>
      </c>
      <c r="AN116" s="273"/>
    </row>
    <row r="117" spans="1:40" x14ac:dyDescent="0.25">
      <c r="A117" s="460"/>
      <c r="B117" s="75">
        <v>7</v>
      </c>
      <c r="C117" s="103" t="s">
        <v>178</v>
      </c>
      <c r="D117" s="89">
        <f>SUM(D111:D116)</f>
        <v>38</v>
      </c>
      <c r="E117" s="89">
        <v>38</v>
      </c>
      <c r="F117" s="89">
        <v>38</v>
      </c>
      <c r="G117" s="89">
        <v>38</v>
      </c>
      <c r="H117" s="89">
        <v>38</v>
      </c>
      <c r="I117" s="141">
        <v>38</v>
      </c>
      <c r="J117" s="126">
        <v>38</v>
      </c>
      <c r="K117" s="89">
        <v>38</v>
      </c>
      <c r="L117" s="88">
        <v>38</v>
      </c>
      <c r="M117" s="88">
        <v>38</v>
      </c>
      <c r="N117" s="88">
        <v>38</v>
      </c>
      <c r="P117" s="156">
        <f>SUM(P111:P116)</f>
        <v>37</v>
      </c>
      <c r="Q117" s="156">
        <v>37</v>
      </c>
      <c r="R117" s="156">
        <v>37</v>
      </c>
      <c r="S117" s="156">
        <v>37</v>
      </c>
      <c r="T117" s="156">
        <v>38</v>
      </c>
      <c r="U117" s="156">
        <v>38</v>
      </c>
      <c r="V117" s="276">
        <v>38</v>
      </c>
      <c r="W117" s="273">
        <v>38</v>
      </c>
      <c r="X117" s="273">
        <v>40</v>
      </c>
      <c r="Y117" s="273">
        <v>40</v>
      </c>
      <c r="Z117" s="273">
        <v>40</v>
      </c>
      <c r="AA117" s="273">
        <v>40</v>
      </c>
      <c r="AC117" s="156">
        <f>SUM(AC111:AC116)</f>
        <v>39</v>
      </c>
      <c r="AD117" s="156">
        <f>SUM(AD111:AD116)</f>
        <v>41</v>
      </c>
      <c r="AE117" s="156">
        <f>SUM(AE111:AE116)</f>
        <v>40</v>
      </c>
      <c r="AF117" s="156">
        <v>41</v>
      </c>
      <c r="AG117" s="324">
        <v>41</v>
      </c>
      <c r="AH117" s="156">
        <v>40</v>
      </c>
      <c r="AI117" s="276">
        <v>40</v>
      </c>
      <c r="AJ117" s="273">
        <v>40</v>
      </c>
      <c r="AK117" s="273">
        <v>40</v>
      </c>
      <c r="AL117" s="273">
        <v>40</v>
      </c>
      <c r="AM117" s="273"/>
      <c r="AN117" s="273"/>
    </row>
    <row r="118" spans="1:40" x14ac:dyDescent="0.2">
      <c r="A118" s="104"/>
      <c r="B118" s="104"/>
      <c r="C118" s="104"/>
      <c r="D118" s="144"/>
      <c r="E118" s="144"/>
      <c r="F118" s="144"/>
      <c r="G118" s="144"/>
      <c r="H118" s="144"/>
      <c r="I118" s="144"/>
      <c r="J118" s="126"/>
      <c r="K118" s="89"/>
      <c r="L118" s="125"/>
      <c r="M118" s="125"/>
      <c r="N118" s="125"/>
      <c r="P118" s="156"/>
      <c r="Q118" s="156"/>
      <c r="R118" s="156"/>
      <c r="S118" s="156"/>
      <c r="T118" s="156"/>
      <c r="U118" s="156"/>
      <c r="V118" s="273"/>
      <c r="W118" s="273"/>
      <c r="X118" s="273"/>
      <c r="Y118" s="273"/>
      <c r="Z118" s="273"/>
      <c r="AA118" s="273"/>
      <c r="AC118" s="156"/>
      <c r="AD118" s="156"/>
      <c r="AE118" s="156"/>
      <c r="AF118" s="156"/>
      <c r="AG118" s="156"/>
      <c r="AH118" s="156"/>
      <c r="AI118" s="273"/>
      <c r="AJ118" s="273"/>
      <c r="AK118" s="273"/>
      <c r="AL118" s="273"/>
      <c r="AM118" s="273"/>
      <c r="AN118" s="273"/>
    </row>
    <row r="119" spans="1:40" x14ac:dyDescent="0.25">
      <c r="A119" s="449" t="s">
        <v>179</v>
      </c>
      <c r="B119" s="75">
        <v>1</v>
      </c>
      <c r="C119" s="103" t="s">
        <v>180</v>
      </c>
      <c r="D119" s="106">
        <v>1868910.52</v>
      </c>
      <c r="E119" s="145">
        <v>793462.5</v>
      </c>
      <c r="F119" s="106">
        <v>763430.21</v>
      </c>
      <c r="G119" s="105">
        <f>[5]Sheet1!$J$30</f>
        <v>863513.78</v>
      </c>
      <c r="H119" s="106">
        <v>1006672</v>
      </c>
      <c r="I119" s="146">
        <v>812598.52</v>
      </c>
      <c r="J119" s="126">
        <v>911772.59</v>
      </c>
      <c r="K119" s="89">
        <v>726846</v>
      </c>
      <c r="L119" s="105">
        <f>[6]INGRESOS!M32</f>
        <v>911772.59</v>
      </c>
      <c r="M119" s="147">
        <f>[6]INGRESOS!N32</f>
        <v>726846</v>
      </c>
      <c r="N119" s="147">
        <f>[6]INGRESOS!O32</f>
        <v>861396</v>
      </c>
      <c r="O119" s="100"/>
      <c r="P119" s="288">
        <v>1289832.06</v>
      </c>
      <c r="Q119" s="288">
        <v>843620.03</v>
      </c>
      <c r="R119" s="288">
        <v>805484.03</v>
      </c>
      <c r="S119" s="288">
        <v>956120</v>
      </c>
      <c r="T119" s="288">
        <v>884310.03</v>
      </c>
      <c r="U119" s="288">
        <v>883869.09</v>
      </c>
      <c r="V119" s="282">
        <v>909730.06</v>
      </c>
      <c r="W119" s="282">
        <v>993813</v>
      </c>
      <c r="X119" s="282">
        <v>921493</v>
      </c>
      <c r="Y119" s="282">
        <v>735684.63</v>
      </c>
      <c r="Z119" s="282">
        <v>909261.03</v>
      </c>
      <c r="AA119" s="282">
        <v>811560.59</v>
      </c>
      <c r="AB119" s="100"/>
      <c r="AC119" s="170">
        <v>1502164</v>
      </c>
      <c r="AD119" s="170">
        <v>966150</v>
      </c>
      <c r="AE119" s="170">
        <v>1002847</v>
      </c>
      <c r="AF119" s="170">
        <v>1023994</v>
      </c>
      <c r="AG119" s="170">
        <v>1060032</v>
      </c>
      <c r="AH119" s="288">
        <v>1022882</v>
      </c>
      <c r="AI119" s="279">
        <v>1015842</v>
      </c>
      <c r="AJ119" s="279">
        <v>1179774.06</v>
      </c>
      <c r="AK119" s="282">
        <v>1076597</v>
      </c>
      <c r="AL119" s="282">
        <v>1080908</v>
      </c>
      <c r="AM119" s="273">
        <v>1010256</v>
      </c>
      <c r="AN119" s="282"/>
    </row>
    <row r="120" spans="1:40" x14ac:dyDescent="0.25">
      <c r="A120" s="450"/>
      <c r="B120" s="75">
        <v>2</v>
      </c>
      <c r="C120" s="103" t="s">
        <v>181</v>
      </c>
      <c r="D120" s="106">
        <v>725820.37</v>
      </c>
      <c r="E120" s="145">
        <v>617659.5</v>
      </c>
      <c r="F120" s="106">
        <v>598597.21</v>
      </c>
      <c r="G120" s="105">
        <f>[5]Sheet1!$J$6</f>
        <v>711808.78</v>
      </c>
      <c r="H120" s="106">
        <v>695111</v>
      </c>
      <c r="I120" s="146">
        <v>656027.52</v>
      </c>
      <c r="J120" s="126">
        <v>680321</v>
      </c>
      <c r="K120" s="89">
        <v>604975</v>
      </c>
      <c r="L120" s="105">
        <f>[6]INGRESOS!M7</f>
        <v>680321</v>
      </c>
      <c r="M120" s="147">
        <f>[6]INGRESOS!N7</f>
        <v>604975</v>
      </c>
      <c r="N120" s="147">
        <f>[6]INGRESOS!O7</f>
        <v>721017</v>
      </c>
      <c r="O120" s="100"/>
      <c r="P120" s="156">
        <v>361955</v>
      </c>
      <c r="Q120" s="156">
        <v>539176</v>
      </c>
      <c r="R120" s="156">
        <v>657258</v>
      </c>
      <c r="S120" s="156">
        <v>782533</v>
      </c>
      <c r="T120" s="156">
        <v>705754</v>
      </c>
      <c r="U120" s="156">
        <v>743848</v>
      </c>
      <c r="V120" s="273">
        <v>736993</v>
      </c>
      <c r="W120" s="273">
        <v>761389</v>
      </c>
      <c r="X120" s="273">
        <v>729286</v>
      </c>
      <c r="Y120" s="273">
        <v>596774</v>
      </c>
      <c r="Z120" s="273">
        <v>764429</v>
      </c>
      <c r="AA120" s="273">
        <v>646843</v>
      </c>
      <c r="AB120" s="100"/>
      <c r="AC120" s="156">
        <v>388029</v>
      </c>
      <c r="AD120" s="156">
        <v>627779</v>
      </c>
      <c r="AE120" s="156">
        <v>813911</v>
      </c>
      <c r="AF120" s="170">
        <v>825911</v>
      </c>
      <c r="AG120" s="170">
        <v>868917</v>
      </c>
      <c r="AH120" s="156">
        <v>869504</v>
      </c>
      <c r="AI120" s="273">
        <v>847582</v>
      </c>
      <c r="AJ120" s="279">
        <v>807729</v>
      </c>
      <c r="AK120" s="273">
        <v>796694</v>
      </c>
      <c r="AL120" s="273">
        <v>840378</v>
      </c>
      <c r="AM120" s="273">
        <v>823684</v>
      </c>
      <c r="AN120" s="273"/>
    </row>
    <row r="121" spans="1:40" x14ac:dyDescent="0.25">
      <c r="A121" s="450"/>
      <c r="B121" s="75">
        <v>3</v>
      </c>
      <c r="C121" s="103" t="s">
        <v>182</v>
      </c>
      <c r="D121" s="106">
        <v>36034.15</v>
      </c>
      <c r="E121" s="145">
        <v>22446</v>
      </c>
      <c r="F121" s="106">
        <v>21155</v>
      </c>
      <c r="G121" s="105">
        <f>[5]Sheet1!$J$4</f>
        <v>23884</v>
      </c>
      <c r="H121" s="106">
        <v>23707</v>
      </c>
      <c r="I121" s="146">
        <v>23017</v>
      </c>
      <c r="J121" s="126">
        <v>23134</v>
      </c>
      <c r="K121" s="89">
        <v>21401</v>
      </c>
      <c r="L121" s="105">
        <f>[6]INGRESOS!M4</f>
        <v>23134</v>
      </c>
      <c r="M121" s="147">
        <f>[6]INGRESOS!N4</f>
        <v>21401</v>
      </c>
      <c r="N121" s="147">
        <f>[6]INGRESOS!O4</f>
        <v>24005</v>
      </c>
      <c r="O121" s="100"/>
      <c r="P121" s="156">
        <v>18566</v>
      </c>
      <c r="Q121" s="156">
        <v>20880</v>
      </c>
      <c r="R121" s="156">
        <v>23781</v>
      </c>
      <c r="S121" s="156">
        <v>25063</v>
      </c>
      <c r="T121" s="156">
        <v>22651</v>
      </c>
      <c r="U121" s="156">
        <v>24308</v>
      </c>
      <c r="V121" s="273">
        <v>24017</v>
      </c>
      <c r="W121" s="273">
        <v>24726</v>
      </c>
      <c r="X121" s="273">
        <v>24215</v>
      </c>
      <c r="Y121" s="273">
        <v>20817</v>
      </c>
      <c r="Z121" s="273">
        <v>25046</v>
      </c>
      <c r="AA121" s="273"/>
      <c r="AB121" s="100"/>
      <c r="AC121" s="156">
        <v>22927</v>
      </c>
      <c r="AD121" s="156">
        <v>28994</v>
      </c>
      <c r="AE121" s="156">
        <v>28680</v>
      </c>
      <c r="AF121" s="170">
        <v>31239</v>
      </c>
      <c r="AG121" s="170">
        <v>27278</v>
      </c>
      <c r="AH121" s="156">
        <v>28556</v>
      </c>
      <c r="AI121" s="273">
        <v>28025</v>
      </c>
      <c r="AJ121" s="279">
        <v>26269</v>
      </c>
      <c r="AK121" s="273">
        <v>25322</v>
      </c>
      <c r="AL121" s="273">
        <v>27305</v>
      </c>
      <c r="AM121" s="273">
        <v>26431</v>
      </c>
      <c r="AN121" s="273"/>
    </row>
    <row r="122" spans="1:40" x14ac:dyDescent="0.25">
      <c r="A122" s="450"/>
      <c r="B122" s="75">
        <v>4</v>
      </c>
      <c r="C122" s="103" t="s">
        <v>183</v>
      </c>
      <c r="D122" s="106">
        <v>71519.100000000006</v>
      </c>
      <c r="E122" s="145">
        <v>44065</v>
      </c>
      <c r="F122" s="106">
        <v>41920</v>
      </c>
      <c r="G122" s="105">
        <f>[5]Sheet1!$J$26</f>
        <v>47543</v>
      </c>
      <c r="H122" s="106">
        <v>47245</v>
      </c>
      <c r="I122" s="146">
        <v>45938</v>
      </c>
      <c r="J122" s="126">
        <v>46250</v>
      </c>
      <c r="K122" s="89">
        <v>42772</v>
      </c>
      <c r="L122" s="105">
        <f>[6]INGRESOS!M28</f>
        <v>46250</v>
      </c>
      <c r="M122" s="147">
        <f>[6]INGRESOS!N28</f>
        <v>42772</v>
      </c>
      <c r="N122" s="147">
        <f>[6]INGRESOS!O28</f>
        <v>47731</v>
      </c>
      <c r="O122" s="100"/>
      <c r="P122" s="156">
        <v>35109</v>
      </c>
      <c r="Q122" s="156">
        <v>41297</v>
      </c>
      <c r="R122" s="156">
        <v>48785</v>
      </c>
      <c r="S122" s="156">
        <v>51544</v>
      </c>
      <c r="T122" s="156">
        <v>46561</v>
      </c>
      <c r="U122" s="156">
        <v>50003</v>
      </c>
      <c r="V122" s="273">
        <v>49754</v>
      </c>
      <c r="W122" s="273">
        <v>51150</v>
      </c>
      <c r="X122" s="273">
        <v>50137</v>
      </c>
      <c r="Y122" s="273">
        <v>43237</v>
      </c>
      <c r="Z122" s="273">
        <v>49446</v>
      </c>
      <c r="AA122" s="273">
        <v>45804</v>
      </c>
      <c r="AB122" s="100"/>
      <c r="AC122" s="156">
        <v>44544</v>
      </c>
      <c r="AD122" s="156">
        <v>58185</v>
      </c>
      <c r="AE122" s="156">
        <v>57704</v>
      </c>
      <c r="AF122" s="170">
        <v>62721</v>
      </c>
      <c r="AG122" s="170">
        <v>54764</v>
      </c>
      <c r="AH122" s="156">
        <v>56985</v>
      </c>
      <c r="AI122" s="273">
        <v>56109</v>
      </c>
      <c r="AJ122" s="279">
        <v>52661</v>
      </c>
      <c r="AK122" s="273">
        <v>50782</v>
      </c>
      <c r="AL122" s="273">
        <v>54606</v>
      </c>
      <c r="AM122" s="273">
        <v>52825</v>
      </c>
      <c r="AN122" s="273"/>
    </row>
    <row r="123" spans="1:40" x14ac:dyDescent="0.2">
      <c r="A123" s="450"/>
      <c r="B123" s="75">
        <v>5</v>
      </c>
      <c r="C123" s="103" t="s">
        <v>184</v>
      </c>
      <c r="D123" s="106">
        <v>831</v>
      </c>
      <c r="E123" s="145">
        <v>621</v>
      </c>
      <c r="F123" s="106">
        <v>2145</v>
      </c>
      <c r="G123" s="105">
        <f>3066</f>
        <v>3066</v>
      </c>
      <c r="H123" s="106">
        <v>2220</v>
      </c>
      <c r="I123" s="146">
        <v>120</v>
      </c>
      <c r="J123" s="126">
        <v>1440</v>
      </c>
      <c r="K123" s="89"/>
      <c r="L123" s="125">
        <v>510</v>
      </c>
      <c r="M123" s="148">
        <v>1704</v>
      </c>
      <c r="N123" s="148">
        <v>3388</v>
      </c>
      <c r="O123" s="100"/>
      <c r="P123" s="156">
        <v>60</v>
      </c>
      <c r="Q123" s="156">
        <v>1080</v>
      </c>
      <c r="R123" s="156">
        <v>2550</v>
      </c>
      <c r="S123" s="156">
        <v>3420</v>
      </c>
      <c r="T123" s="156">
        <v>3450</v>
      </c>
      <c r="U123" s="156">
        <v>0</v>
      </c>
      <c r="V123" s="273">
        <v>210</v>
      </c>
      <c r="W123" s="273">
        <v>0</v>
      </c>
      <c r="X123" s="273">
        <v>0</v>
      </c>
      <c r="Y123" s="273">
        <v>0</v>
      </c>
      <c r="Z123" s="273">
        <v>0</v>
      </c>
      <c r="AA123" s="273">
        <v>0</v>
      </c>
      <c r="AC123" s="156">
        <v>0</v>
      </c>
      <c r="AD123" s="156">
        <v>3906</v>
      </c>
      <c r="AE123" s="156">
        <v>4515</v>
      </c>
      <c r="AF123" s="170">
        <v>0</v>
      </c>
      <c r="AG123" s="170">
        <v>2097</v>
      </c>
      <c r="AH123" s="156">
        <v>120</v>
      </c>
      <c r="AI123" s="273">
        <v>3558</v>
      </c>
      <c r="AJ123" s="279">
        <v>1629</v>
      </c>
      <c r="AK123" s="273">
        <v>1899</v>
      </c>
      <c r="AL123" s="273">
        <v>244</v>
      </c>
      <c r="AM123" s="273">
        <v>1890</v>
      </c>
      <c r="AN123" s="273"/>
    </row>
    <row r="124" spans="1:40" x14ac:dyDescent="0.25">
      <c r="A124" s="450"/>
      <c r="B124" s="75">
        <v>6</v>
      </c>
      <c r="C124" s="103" t="s">
        <v>185</v>
      </c>
      <c r="D124" s="106">
        <v>23055</v>
      </c>
      <c r="E124" s="145">
        <v>15592</v>
      </c>
      <c r="F124" s="106">
        <v>14273</v>
      </c>
      <c r="G124" s="105">
        <f>[5]Sheet1!$J$10+[5]Sheet1!$J$11</f>
        <v>12619</v>
      </c>
      <c r="H124" s="106">
        <v>12492</v>
      </c>
      <c r="I124" s="146">
        <v>13915</v>
      </c>
      <c r="J124" s="126">
        <v>8122</v>
      </c>
      <c r="K124" s="89">
        <v>7320</v>
      </c>
      <c r="L124" s="105">
        <f>SUM([6]INGRESOS!M11+[6]INGRESOS!M12)</f>
        <v>8122</v>
      </c>
      <c r="M124" s="147">
        <f>SUM([6]INGRESOS!N11+[6]INGRESOS!N12)</f>
        <v>7320</v>
      </c>
      <c r="N124" s="147">
        <f>SUM([6]INGRESOS!O11+[6]INGRESOS!O12)</f>
        <v>10073</v>
      </c>
      <c r="O124" s="101"/>
      <c r="P124" s="156">
        <v>10553</v>
      </c>
      <c r="Q124" s="156">
        <v>13267</v>
      </c>
      <c r="R124" s="156">
        <v>7790</v>
      </c>
      <c r="S124" s="156">
        <v>13821</v>
      </c>
      <c r="T124" s="156">
        <v>17089</v>
      </c>
      <c r="U124" s="156">
        <v>6029</v>
      </c>
      <c r="V124" s="273">
        <v>17089</v>
      </c>
      <c r="W124" s="273">
        <v>20031</v>
      </c>
      <c r="X124" s="273">
        <v>4270</v>
      </c>
      <c r="Y124" s="273">
        <v>13045</v>
      </c>
      <c r="Z124" s="273">
        <v>11854</v>
      </c>
      <c r="AA124" s="273">
        <v>7405</v>
      </c>
      <c r="AB124" s="100"/>
      <c r="AC124" s="156">
        <v>13021</v>
      </c>
      <c r="AD124" s="156">
        <v>15232</v>
      </c>
      <c r="AE124" s="156">
        <v>7650</v>
      </c>
      <c r="AF124" s="170">
        <v>10572</v>
      </c>
      <c r="AG124" s="170">
        <v>15966</v>
      </c>
      <c r="AH124" s="156">
        <v>6715</v>
      </c>
      <c r="AI124" s="273">
        <v>8001</v>
      </c>
      <c r="AJ124" s="279">
        <v>15189</v>
      </c>
      <c r="AK124" s="273">
        <v>20048.09</v>
      </c>
      <c r="AL124" s="273">
        <v>19412</v>
      </c>
      <c r="AM124" s="273">
        <v>12853</v>
      </c>
      <c r="AN124" s="273"/>
    </row>
    <row r="125" spans="1:40" x14ac:dyDescent="0.25">
      <c r="A125" s="450"/>
      <c r="B125" s="75">
        <v>7</v>
      </c>
      <c r="C125" s="103" t="s">
        <v>186</v>
      </c>
      <c r="D125" s="106">
        <v>21009</v>
      </c>
      <c r="E125" s="145">
        <v>10002</v>
      </c>
      <c r="F125" s="106">
        <v>1719</v>
      </c>
      <c r="G125" s="105">
        <f>[5]Sheet1!$J$23-G130-G123</f>
        <v>2361</v>
      </c>
      <c r="H125" s="106">
        <v>3894</v>
      </c>
      <c r="I125" s="146">
        <v>2910</v>
      </c>
      <c r="J125" s="126">
        <v>4230</v>
      </c>
      <c r="K125" s="89">
        <v>4233</v>
      </c>
      <c r="L125" s="105">
        <f>[6]INGRESOS!M24-L123-L130</f>
        <v>4468</v>
      </c>
      <c r="M125" s="147">
        <f>[6]INGRESOS!N24-M123-M130</f>
        <v>5169</v>
      </c>
      <c r="N125" s="147">
        <f>[6]INGRESOS!O24-N123-N130</f>
        <v>-1938</v>
      </c>
      <c r="O125" s="101"/>
      <c r="P125" s="156">
        <v>2604</v>
      </c>
      <c r="Q125" s="156">
        <v>2566</v>
      </c>
      <c r="R125" s="156">
        <v>2009</v>
      </c>
      <c r="S125" s="156">
        <v>287</v>
      </c>
      <c r="T125" s="156">
        <v>2577</v>
      </c>
      <c r="U125" s="156">
        <v>-1154</v>
      </c>
      <c r="V125" s="273">
        <v>2329</v>
      </c>
      <c r="W125" s="273">
        <v>4574</v>
      </c>
      <c r="X125" s="273">
        <v>5012</v>
      </c>
      <c r="Y125" s="273">
        <v>86</v>
      </c>
      <c r="Z125" s="273">
        <v>3731</v>
      </c>
      <c r="AA125" s="273">
        <v>3016</v>
      </c>
      <c r="AB125" s="100"/>
      <c r="AC125" s="156">
        <v>4352</v>
      </c>
      <c r="AD125" s="156">
        <v>6262</v>
      </c>
      <c r="AE125" s="156">
        <v>5224</v>
      </c>
      <c r="AF125" s="170">
        <v>8272</v>
      </c>
      <c r="AG125" s="170">
        <v>6980</v>
      </c>
      <c r="AH125" s="156">
        <v>8364</v>
      </c>
      <c r="AI125" s="273">
        <v>6000</v>
      </c>
      <c r="AJ125" s="279">
        <v>6471</v>
      </c>
      <c r="AK125" s="273">
        <v>5359.12</v>
      </c>
      <c r="AL125" s="273">
        <v>1962.57</v>
      </c>
      <c r="AM125" s="273">
        <v>722.67</v>
      </c>
      <c r="AN125" s="273"/>
    </row>
    <row r="126" spans="1:40" x14ac:dyDescent="0.25">
      <c r="A126" s="450"/>
      <c r="B126" s="75">
        <v>8</v>
      </c>
      <c r="C126" s="103" t="s">
        <v>187</v>
      </c>
      <c r="D126" s="106">
        <v>1801</v>
      </c>
      <c r="E126" s="145">
        <v>1053</v>
      </c>
      <c r="F126" s="106">
        <v>377</v>
      </c>
      <c r="G126" s="105">
        <f>[5]Sheet1!$J$22</f>
        <v>666</v>
      </c>
      <c r="H126" s="106">
        <v>587</v>
      </c>
      <c r="I126" s="146">
        <v>437</v>
      </c>
      <c r="J126" s="126">
        <v>882</v>
      </c>
      <c r="K126" s="89">
        <v>241</v>
      </c>
      <c r="L126" s="105">
        <f>[6]INGRESOS!M23</f>
        <v>882</v>
      </c>
      <c r="M126" s="147">
        <f>[6]INGRESOS!N23</f>
        <v>241</v>
      </c>
      <c r="N126" s="147">
        <f>[6]INGRESOS!O23</f>
        <v>580</v>
      </c>
      <c r="O126" s="101"/>
      <c r="P126" s="156">
        <v>2348</v>
      </c>
      <c r="Q126" s="156">
        <v>320</v>
      </c>
      <c r="R126" s="156">
        <v>757</v>
      </c>
      <c r="S126" s="156">
        <v>660</v>
      </c>
      <c r="T126" s="156">
        <v>191</v>
      </c>
      <c r="U126" s="156">
        <v>710</v>
      </c>
      <c r="V126" s="273">
        <v>715.03</v>
      </c>
      <c r="W126" s="273">
        <v>348</v>
      </c>
      <c r="X126" s="273">
        <v>870</v>
      </c>
      <c r="Y126" s="273">
        <v>1092</v>
      </c>
      <c r="Z126" s="273">
        <v>306</v>
      </c>
      <c r="AA126" s="273">
        <v>300</v>
      </c>
      <c r="AB126" s="100"/>
      <c r="AC126" s="156">
        <v>1600</v>
      </c>
      <c r="AD126" s="156">
        <v>879</v>
      </c>
      <c r="AE126" s="156">
        <v>851</v>
      </c>
      <c r="AF126" s="170">
        <v>1428</v>
      </c>
      <c r="AG126" s="170">
        <v>877</v>
      </c>
      <c r="AH126" s="156">
        <v>215</v>
      </c>
      <c r="AI126" s="273">
        <v>1262</v>
      </c>
      <c r="AJ126" s="279">
        <v>1621</v>
      </c>
      <c r="AK126" s="273">
        <v>1101.0999999999999</v>
      </c>
      <c r="AL126" s="273">
        <v>1132</v>
      </c>
      <c r="AM126" s="273">
        <v>1326</v>
      </c>
      <c r="AN126" s="273"/>
    </row>
    <row r="127" spans="1:40" x14ac:dyDescent="0.25">
      <c r="A127" s="450"/>
      <c r="B127" s="75">
        <v>9</v>
      </c>
      <c r="C127" s="103" t="s">
        <v>188</v>
      </c>
      <c r="D127" s="106">
        <v>888202.65</v>
      </c>
      <c r="E127" s="145">
        <v>26093</v>
      </c>
      <c r="F127" s="106">
        <v>3171</v>
      </c>
      <c r="G127" s="105">
        <f>[5]Sheet1!$J$5+[5]Sheet1!$J$7+[5]Sheet1!$J$27</f>
        <v>1204</v>
      </c>
      <c r="H127" s="106">
        <v>0</v>
      </c>
      <c r="I127" s="146">
        <v>1236</v>
      </c>
      <c r="J127" s="126">
        <v>573</v>
      </c>
      <c r="K127" s="89">
        <v>0</v>
      </c>
      <c r="L127" s="105">
        <f>[6]INGRESOS!M5+[6]INGRESOS!M8+[6]INGRESOS!M29</f>
        <v>573</v>
      </c>
      <c r="M127" s="147">
        <f>[6]INGRESOS!N5+[6]INGRESOS!N8+[6]INGRESOS!N29</f>
        <v>0</v>
      </c>
      <c r="N127" s="147">
        <f>[6]INGRESOS!O5+[6]INGRESOS!O8+[6]INGRESOS!O29</f>
        <v>296</v>
      </c>
      <c r="O127" s="100"/>
      <c r="P127" s="156">
        <v>832024</v>
      </c>
      <c r="Q127" s="156">
        <v>167742</v>
      </c>
      <c r="R127" s="156">
        <v>26331</v>
      </c>
      <c r="S127" s="156">
        <v>5579</v>
      </c>
      <c r="T127" s="156">
        <v>4210</v>
      </c>
      <c r="U127" s="156">
        <v>721</v>
      </c>
      <c r="V127" s="273">
        <v>2174</v>
      </c>
      <c r="W127" s="273">
        <v>1681</v>
      </c>
      <c r="X127" s="273">
        <v>758</v>
      </c>
      <c r="Y127" s="273">
        <v>508</v>
      </c>
      <c r="Z127" s="273">
        <v>952</v>
      </c>
      <c r="AA127" s="273">
        <v>1140</v>
      </c>
      <c r="AB127" s="100"/>
      <c r="AC127" s="156">
        <v>906855</v>
      </c>
      <c r="AD127" s="156">
        <v>166295</v>
      </c>
      <c r="AE127" s="156">
        <v>19258</v>
      </c>
      <c r="AF127" s="170">
        <v>5336</v>
      </c>
      <c r="AG127" s="170">
        <v>7265</v>
      </c>
      <c r="AH127" s="156">
        <v>3885</v>
      </c>
      <c r="AI127" s="273">
        <v>2071</v>
      </c>
      <c r="AJ127" s="279">
        <v>1955</v>
      </c>
      <c r="AK127" s="273">
        <v>2773</v>
      </c>
      <c r="AL127" s="273">
        <v>705</v>
      </c>
      <c r="AM127" s="332">
        <v>122</v>
      </c>
      <c r="AN127" s="273"/>
    </row>
    <row r="128" spans="1:40" x14ac:dyDescent="0.25">
      <c r="A128" s="450"/>
      <c r="B128" s="75">
        <v>10</v>
      </c>
      <c r="C128" s="103" t="s">
        <v>189</v>
      </c>
      <c r="D128" s="106">
        <v>71551</v>
      </c>
      <c r="E128" s="145">
        <v>33086</v>
      </c>
      <c r="F128" s="106">
        <v>61048</v>
      </c>
      <c r="G128" s="105">
        <f>[5]Sheet1!$J$8+[5]Sheet1!$J$9+[5]Sheet1!$J$16+[5]Sheet1!$J$17+[5]Sheet1!$J$18+[5]Sheet1!$J$25</f>
        <v>39059</v>
      </c>
      <c r="H128" s="106">
        <v>37561</v>
      </c>
      <c r="I128" s="146">
        <v>49490</v>
      </c>
      <c r="J128" s="126">
        <v>22079</v>
      </c>
      <c r="K128" s="89">
        <v>28676</v>
      </c>
      <c r="L128" s="105">
        <f>[6]INGRESOS!M9+[6]INGRESOS!M10+[6]INGRESOS!M17+[6]INGRESOS!M18+[6]INGRESOS!M19+[6]INGRESOS!M26</f>
        <v>22079</v>
      </c>
      <c r="M128" s="147">
        <f>[6]INGRESOS!N9+[6]INGRESOS!N10+[6]INGRESOS!N17+[6]INGRESOS!N18+[6]INGRESOS!N19+[6]INGRESOS!N26</f>
        <v>28676</v>
      </c>
      <c r="N128" s="147">
        <f>[6]INGRESOS!O9+[6]INGRESOS!O10+[6]INGRESOS!O17+[6]INGRESOS!O18+[6]INGRESOS!O19+[6]INGRESOS!O26</f>
        <v>36632</v>
      </c>
      <c r="O128" s="100"/>
      <c r="P128" s="156">
        <v>24011</v>
      </c>
      <c r="Q128" s="156">
        <v>45029</v>
      </c>
      <c r="R128" s="156">
        <v>24802</v>
      </c>
      <c r="S128" s="156">
        <v>52776</v>
      </c>
      <c r="T128" s="156">
        <v>53764</v>
      </c>
      <c r="U128" s="156">
        <v>37004</v>
      </c>
      <c r="V128" s="273">
        <v>51937</v>
      </c>
      <c r="W128" s="273">
        <v>79177</v>
      </c>
      <c r="X128" s="273">
        <v>10085</v>
      </c>
      <c r="Y128" s="273">
        <v>31429</v>
      </c>
      <c r="Z128" s="273">
        <v>24694</v>
      </c>
      <c r="AA128" s="273">
        <v>19414</v>
      </c>
      <c r="AB128" s="290"/>
      <c r="AC128" s="156">
        <v>41943</v>
      </c>
      <c r="AD128" s="156">
        <v>38405</v>
      </c>
      <c r="AE128" s="156">
        <v>30811</v>
      </c>
      <c r="AF128" s="170">
        <v>39769</v>
      </c>
      <c r="AG128" s="170">
        <v>45754</v>
      </c>
      <c r="AH128" s="156">
        <v>20525</v>
      </c>
      <c r="AI128" s="273">
        <v>32446</v>
      </c>
      <c r="AJ128" s="279">
        <v>39326</v>
      </c>
      <c r="AK128" s="273">
        <v>65335.73</v>
      </c>
      <c r="AL128" s="273">
        <v>4123</v>
      </c>
      <c r="AM128" s="273">
        <v>2755</v>
      </c>
      <c r="AN128" s="273"/>
    </row>
    <row r="129" spans="1:40" x14ac:dyDescent="0.2">
      <c r="A129" s="450"/>
      <c r="B129" s="75">
        <v>11</v>
      </c>
      <c r="C129" s="103" t="s">
        <v>190</v>
      </c>
      <c r="D129" s="106">
        <v>12386.25</v>
      </c>
      <c r="E129" s="145">
        <v>14130</v>
      </c>
      <c r="F129" s="106">
        <v>9477</v>
      </c>
      <c r="G129" s="105">
        <v>11180</v>
      </c>
      <c r="H129" s="106">
        <v>8536</v>
      </c>
      <c r="I129" s="146">
        <v>13785</v>
      </c>
      <c r="J129" s="126">
        <v>12679.59</v>
      </c>
      <c r="K129" s="89">
        <v>14588</v>
      </c>
      <c r="L129" s="125">
        <v>19612</v>
      </c>
      <c r="M129" s="148">
        <v>314261</v>
      </c>
      <c r="N129" s="148">
        <v>96815</v>
      </c>
      <c r="O129" s="101"/>
      <c r="P129" s="156">
        <v>6398.06</v>
      </c>
      <c r="Q129" s="156">
        <v>11823.03</v>
      </c>
      <c r="R129" s="156">
        <v>11421.03</v>
      </c>
      <c r="S129" s="156">
        <v>19537</v>
      </c>
      <c r="T129" s="156">
        <v>28063.03</v>
      </c>
      <c r="U129" s="156">
        <v>22400.09</v>
      </c>
      <c r="V129" s="273"/>
      <c r="W129" s="273"/>
      <c r="X129" s="273"/>
      <c r="Y129" s="273"/>
      <c r="Z129" s="273"/>
      <c r="AA129" s="273"/>
      <c r="AB129" s="289"/>
      <c r="AC129" s="156">
        <v>71561</v>
      </c>
      <c r="AD129" s="156">
        <v>11189</v>
      </c>
      <c r="AE129" s="156">
        <v>16709</v>
      </c>
      <c r="AF129" s="170">
        <v>21544</v>
      </c>
      <c r="AG129" s="170">
        <v>19463</v>
      </c>
      <c r="AH129" s="156">
        <v>23030</v>
      </c>
      <c r="AI129" s="273">
        <v>23030</v>
      </c>
      <c r="AJ129" s="279">
        <v>23030</v>
      </c>
      <c r="AK129" s="273">
        <v>201026</v>
      </c>
      <c r="AL129" s="273">
        <v>133003</v>
      </c>
      <c r="AM129" s="273">
        <v>88370</v>
      </c>
      <c r="AN129" s="273"/>
    </row>
    <row r="130" spans="1:40" x14ac:dyDescent="0.2">
      <c r="A130" s="450"/>
      <c r="B130" s="75">
        <v>12</v>
      </c>
      <c r="C130" s="103" t="s">
        <v>191</v>
      </c>
      <c r="D130" s="106">
        <v>16701</v>
      </c>
      <c r="E130" s="145">
        <v>8715</v>
      </c>
      <c r="F130" s="106">
        <v>9548</v>
      </c>
      <c r="G130" s="105">
        <v>10123</v>
      </c>
      <c r="H130" s="106">
        <v>7482</v>
      </c>
      <c r="I130" s="146">
        <v>5723</v>
      </c>
      <c r="J130" s="126">
        <v>748</v>
      </c>
      <c r="K130" s="89">
        <v>2640</v>
      </c>
      <c r="L130" s="125">
        <v>0</v>
      </c>
      <c r="M130" s="148">
        <v>0</v>
      </c>
      <c r="N130" s="148">
        <v>0</v>
      </c>
      <c r="O130" s="101"/>
      <c r="P130" s="156">
        <v>900</v>
      </c>
      <c r="Q130" s="156">
        <v>450</v>
      </c>
      <c r="R130" s="156"/>
      <c r="S130" s="156">
        <v>900</v>
      </c>
      <c r="T130" s="156">
        <v>0</v>
      </c>
      <c r="U130" s="156"/>
      <c r="V130" s="273">
        <v>1800</v>
      </c>
      <c r="W130" s="273"/>
      <c r="X130" s="273">
        <v>7092</v>
      </c>
      <c r="Y130" s="273">
        <v>3465</v>
      </c>
      <c r="Z130" s="273">
        <v>4500</v>
      </c>
      <c r="AA130" s="273">
        <v>2745</v>
      </c>
      <c r="AB130" s="100"/>
      <c r="AC130" s="156">
        <v>7332</v>
      </c>
      <c r="AD130" s="156">
        <v>9024</v>
      </c>
      <c r="AE130" s="156">
        <v>17534</v>
      </c>
      <c r="AF130" s="170">
        <v>17202</v>
      </c>
      <c r="AG130" s="170">
        <v>10671</v>
      </c>
      <c r="AH130" s="156">
        <v>4983</v>
      </c>
      <c r="AI130" s="273">
        <v>8695</v>
      </c>
      <c r="AJ130" s="279">
        <v>7429</v>
      </c>
      <c r="AK130" s="273">
        <v>6345</v>
      </c>
      <c r="AL130" s="273">
        <v>5031</v>
      </c>
      <c r="AM130" s="273">
        <v>5338</v>
      </c>
      <c r="AN130" s="273"/>
    </row>
    <row r="131" spans="1:40" x14ac:dyDescent="0.2">
      <c r="A131" s="450"/>
      <c r="B131" s="75">
        <v>13</v>
      </c>
      <c r="C131" s="103" t="s">
        <v>192</v>
      </c>
      <c r="D131" s="106">
        <v>0</v>
      </c>
      <c r="E131" s="149">
        <v>0</v>
      </c>
      <c r="F131" s="106">
        <v>0</v>
      </c>
      <c r="G131" s="105">
        <v>0</v>
      </c>
      <c r="H131" s="106">
        <v>167837</v>
      </c>
      <c r="I131" s="146">
        <v>0</v>
      </c>
      <c r="J131" s="126">
        <v>111194</v>
      </c>
      <c r="K131" s="89">
        <v>0</v>
      </c>
      <c r="L131" s="125">
        <f>[6]INGRESOS!M14</f>
        <v>111194</v>
      </c>
      <c r="M131" s="148">
        <f>[6]INGRESOS!N14</f>
        <v>0</v>
      </c>
      <c r="N131" s="148">
        <f>[6]INGRESOS!O14</f>
        <v>0</v>
      </c>
      <c r="O131" s="101"/>
      <c r="P131" s="156"/>
      <c r="Q131" s="156"/>
      <c r="R131" s="156"/>
      <c r="S131" s="156"/>
      <c r="T131" s="156">
        <v>0</v>
      </c>
      <c r="U131" s="156">
        <v>0</v>
      </c>
      <c r="V131" s="273">
        <v>0</v>
      </c>
      <c r="W131" s="273">
        <v>20837</v>
      </c>
      <c r="X131" s="273">
        <v>73058</v>
      </c>
      <c r="Y131" s="273">
        <v>0</v>
      </c>
      <c r="Z131" s="273">
        <v>0</v>
      </c>
      <c r="AA131" s="273">
        <v>237494</v>
      </c>
      <c r="AC131" s="156"/>
      <c r="AD131" s="156"/>
      <c r="AE131" s="156"/>
      <c r="AF131" s="170"/>
      <c r="AG131" s="170"/>
      <c r="AH131" s="156"/>
      <c r="AI131" s="273">
        <v>201131</v>
      </c>
      <c r="AJ131" s="279">
        <v>195182</v>
      </c>
      <c r="AK131" s="273"/>
      <c r="AL131" s="273">
        <v>0</v>
      </c>
      <c r="AM131" s="273">
        <v>0</v>
      </c>
      <c r="AN131" s="273"/>
    </row>
    <row r="132" spans="1:40" x14ac:dyDescent="0.2">
      <c r="A132" s="450"/>
      <c r="B132" s="75">
        <v>14</v>
      </c>
      <c r="C132" s="103" t="s">
        <v>193</v>
      </c>
      <c r="D132" s="106">
        <v>0</v>
      </c>
      <c r="E132" s="145">
        <v>0</v>
      </c>
      <c r="F132" s="106">
        <v>0</v>
      </c>
      <c r="G132" s="105">
        <v>0</v>
      </c>
      <c r="H132" s="106"/>
      <c r="I132" s="146">
        <v>0</v>
      </c>
      <c r="J132" s="126">
        <v>0</v>
      </c>
      <c r="K132" s="89">
        <v>0</v>
      </c>
      <c r="L132" s="125">
        <v>0</v>
      </c>
      <c r="M132" s="148">
        <v>0</v>
      </c>
      <c r="N132" s="148">
        <v>0</v>
      </c>
      <c r="O132" s="101"/>
      <c r="P132" s="156"/>
      <c r="Q132" s="156"/>
      <c r="R132" s="156"/>
      <c r="S132" s="156"/>
      <c r="T132" s="156">
        <v>0</v>
      </c>
      <c r="U132" s="156">
        <v>0</v>
      </c>
      <c r="V132" s="273">
        <v>0</v>
      </c>
      <c r="W132" s="273"/>
      <c r="X132" s="273"/>
      <c r="Y132" s="273">
        <v>0</v>
      </c>
      <c r="Z132" s="273">
        <v>15647</v>
      </c>
      <c r="AA132" s="273">
        <v>44669</v>
      </c>
      <c r="AC132" s="156"/>
      <c r="AD132" s="156"/>
      <c r="AE132" s="156"/>
      <c r="AF132" s="156"/>
      <c r="AG132" s="156"/>
      <c r="AH132" s="156"/>
      <c r="AI132" s="273"/>
      <c r="AJ132" s="279"/>
      <c r="AK132" s="273"/>
      <c r="AL132" s="273"/>
      <c r="AM132" s="273">
        <v>25</v>
      </c>
      <c r="AN132" s="273"/>
    </row>
    <row r="133" spans="1:40" x14ac:dyDescent="0.2">
      <c r="A133" s="450"/>
      <c r="B133" s="75">
        <v>15</v>
      </c>
      <c r="C133" s="103" t="s">
        <v>194</v>
      </c>
      <c r="D133" s="106">
        <v>0</v>
      </c>
      <c r="E133" s="145">
        <v>0</v>
      </c>
      <c r="F133" s="106">
        <v>0</v>
      </c>
      <c r="G133" s="105">
        <v>0</v>
      </c>
      <c r="H133" s="106"/>
      <c r="I133" s="146">
        <v>0</v>
      </c>
      <c r="J133" s="126">
        <v>0</v>
      </c>
      <c r="K133" s="89">
        <v>0</v>
      </c>
      <c r="L133" s="125">
        <v>0</v>
      </c>
      <c r="M133" s="148">
        <v>0</v>
      </c>
      <c r="N133" s="148">
        <v>0</v>
      </c>
      <c r="O133" s="101"/>
      <c r="P133" s="156"/>
      <c r="Q133" s="156"/>
      <c r="R133" s="156"/>
      <c r="S133" s="156"/>
      <c r="T133" s="156">
        <v>0</v>
      </c>
      <c r="U133" s="156">
        <v>0</v>
      </c>
      <c r="V133" s="273">
        <v>0</v>
      </c>
      <c r="W133" s="273"/>
      <c r="X133" s="273"/>
      <c r="Y133" s="273"/>
      <c r="Z133" s="273"/>
      <c r="AA133" s="273"/>
      <c r="AC133" s="156"/>
      <c r="AD133" s="156"/>
      <c r="AE133" s="156"/>
      <c r="AF133" s="156"/>
      <c r="AG133" s="156"/>
      <c r="AH133" s="156"/>
      <c r="AI133" s="273"/>
      <c r="AJ133" s="279"/>
      <c r="AK133" s="273"/>
      <c r="AL133" s="273"/>
      <c r="AM133" s="273">
        <v>2321</v>
      </c>
      <c r="AN133" s="273"/>
    </row>
    <row r="134" spans="1:40" x14ac:dyDescent="0.2">
      <c r="A134" s="450"/>
      <c r="B134" s="75"/>
      <c r="C134" s="103"/>
      <c r="D134" s="106"/>
      <c r="E134" s="145"/>
      <c r="F134" s="145"/>
      <c r="G134" s="145"/>
      <c r="H134" s="145"/>
      <c r="I134" s="150"/>
      <c r="J134" s="126"/>
      <c r="K134" s="89"/>
      <c r="L134" s="125"/>
      <c r="M134" s="148"/>
      <c r="N134" s="148"/>
      <c r="O134" s="101"/>
      <c r="P134" s="156"/>
      <c r="Q134" s="156"/>
      <c r="R134" s="156"/>
      <c r="S134" s="156"/>
      <c r="T134" s="156">
        <f>SUM(T119:T133)</f>
        <v>1768620.06</v>
      </c>
      <c r="U134" s="156">
        <f>SUM(U119:U133)</f>
        <v>1767738.18</v>
      </c>
      <c r="V134" s="273"/>
      <c r="W134" s="273"/>
      <c r="X134" s="273"/>
      <c r="Y134" s="273"/>
      <c r="Z134" s="273"/>
      <c r="AA134" s="273"/>
      <c r="AC134" s="156">
        <f>SUM(AC119:AC133)</f>
        <v>3004328</v>
      </c>
      <c r="AD134" s="156">
        <f>SUM(AD119:AD133)</f>
        <v>1932300</v>
      </c>
      <c r="AE134" s="156">
        <f>SUM(AE119:AE133)</f>
        <v>2005694</v>
      </c>
      <c r="AF134" s="156">
        <f>SUM(AF119:AF133)</f>
        <v>2047988</v>
      </c>
      <c r="AG134" s="156"/>
      <c r="AH134" s="156"/>
      <c r="AI134" s="273"/>
      <c r="AJ134" s="279"/>
      <c r="AK134" s="273"/>
      <c r="AL134" s="273"/>
      <c r="AM134" s="273"/>
      <c r="AN134" s="273"/>
    </row>
    <row r="135" spans="1:40" x14ac:dyDescent="0.25">
      <c r="A135" s="450"/>
      <c r="B135" s="75"/>
      <c r="C135" s="108"/>
      <c r="D135" s="106">
        <v>1868910.5199999998</v>
      </c>
      <c r="E135" s="106">
        <v>793462.5</v>
      </c>
      <c r="F135" s="106">
        <v>763430.21</v>
      </c>
      <c r="G135" s="106">
        <v>863513.78</v>
      </c>
      <c r="H135" s="106">
        <v>1006672</v>
      </c>
      <c r="I135" s="146">
        <v>812598.52</v>
      </c>
      <c r="J135" s="126">
        <v>911652.59</v>
      </c>
      <c r="K135" s="89">
        <v>726846</v>
      </c>
      <c r="L135" s="105">
        <f>SUM(L120:L134)</f>
        <v>917145</v>
      </c>
      <c r="M135" s="147">
        <f>SUM(M120:M134)</f>
        <v>1026519</v>
      </c>
      <c r="N135" s="147">
        <f>SUM(N120:N134)</f>
        <v>938599</v>
      </c>
      <c r="O135" s="101"/>
      <c r="P135" s="156"/>
      <c r="Q135" s="156"/>
      <c r="R135" s="156"/>
      <c r="S135" s="156"/>
      <c r="T135" s="156"/>
      <c r="U135" s="156"/>
      <c r="V135" s="273"/>
      <c r="W135" s="273"/>
      <c r="X135" s="273"/>
      <c r="Y135" s="273"/>
      <c r="Z135" s="273"/>
      <c r="AA135" s="273"/>
      <c r="AC135" s="156"/>
      <c r="AD135" s="156"/>
      <c r="AE135" s="156"/>
      <c r="AF135" s="156"/>
      <c r="AG135" s="156"/>
      <c r="AH135" s="156"/>
      <c r="AI135" s="273"/>
      <c r="AJ135" s="279"/>
      <c r="AK135" s="273"/>
      <c r="AL135" s="273"/>
      <c r="AM135" s="273"/>
      <c r="AN135" s="273"/>
    </row>
    <row r="136" spans="1:40" x14ac:dyDescent="0.2">
      <c r="A136" s="450"/>
      <c r="B136" s="90">
        <v>16</v>
      </c>
      <c r="C136" s="109" t="s">
        <v>195</v>
      </c>
      <c r="D136" s="106">
        <v>1220922.57</v>
      </c>
      <c r="E136" s="145">
        <v>922564.4300000004</v>
      </c>
      <c r="F136" s="106">
        <v>1028328.48</v>
      </c>
      <c r="G136" s="105">
        <v>814861.33</v>
      </c>
      <c r="H136" s="106">
        <v>712916.59</v>
      </c>
      <c r="I136" s="146">
        <v>963477</v>
      </c>
      <c r="J136" s="126">
        <v>682290.45</v>
      </c>
      <c r="K136" s="89">
        <v>675771.04</v>
      </c>
      <c r="L136" s="151">
        <f>'[6]EGRESOS '!N299</f>
        <v>684737.47</v>
      </c>
      <c r="M136" s="152">
        <f>'[6]EGRESOS '!O299</f>
        <v>675771.04</v>
      </c>
      <c r="N136" s="152">
        <f>'[6]EGRESOS '!P299</f>
        <v>631061.94999999995</v>
      </c>
      <c r="O136" s="101"/>
      <c r="P136" s="206">
        <v>723846.62</v>
      </c>
      <c r="Q136" s="206">
        <v>942361.59999999998</v>
      </c>
      <c r="R136" s="206">
        <v>1209215.8799999999</v>
      </c>
      <c r="S136" s="206">
        <v>894665.88</v>
      </c>
      <c r="T136" s="206">
        <v>995667.96</v>
      </c>
      <c r="U136" s="206">
        <v>765476.3</v>
      </c>
      <c r="V136" s="283">
        <v>830023.28</v>
      </c>
      <c r="W136" s="283">
        <v>1098560.97</v>
      </c>
      <c r="X136" s="283">
        <v>588835.41</v>
      </c>
      <c r="Y136" s="273">
        <v>797392.9</v>
      </c>
      <c r="Z136" s="273">
        <v>839158.27</v>
      </c>
      <c r="AA136" s="273">
        <v>1600458.22</v>
      </c>
      <c r="AB136" s="96"/>
      <c r="AC136" s="206">
        <v>886374.69</v>
      </c>
      <c r="AD136" s="206">
        <v>1273190.02</v>
      </c>
      <c r="AE136" s="206">
        <v>745907.12</v>
      </c>
      <c r="AF136" s="206">
        <v>1240905.23</v>
      </c>
      <c r="AG136" s="206">
        <v>1141366.51</v>
      </c>
      <c r="AH136" s="206">
        <v>1746922.35</v>
      </c>
      <c r="AI136" s="283">
        <v>1203529.3700000001</v>
      </c>
      <c r="AJ136" s="279">
        <v>1415533.79</v>
      </c>
      <c r="AK136" s="283">
        <v>882039.72</v>
      </c>
      <c r="AL136" s="273">
        <v>1229585.8600000001</v>
      </c>
      <c r="AM136" s="273">
        <v>1187251.8</v>
      </c>
      <c r="AN136" s="273"/>
    </row>
    <row r="137" spans="1:40" x14ac:dyDescent="0.25">
      <c r="A137" s="450"/>
      <c r="B137" s="90"/>
      <c r="C137" s="109"/>
      <c r="D137" s="106"/>
      <c r="E137" s="145"/>
      <c r="F137" s="106"/>
      <c r="G137" s="106"/>
      <c r="H137" s="106"/>
      <c r="I137" s="146"/>
      <c r="J137" s="126"/>
      <c r="K137" s="89"/>
      <c r="L137" s="98"/>
      <c r="M137" s="153"/>
      <c r="N137" s="153"/>
      <c r="O137" s="101"/>
      <c r="P137" s="156"/>
      <c r="Q137" s="156"/>
      <c r="R137" s="156"/>
      <c r="S137" s="156"/>
      <c r="T137" s="156"/>
      <c r="U137" s="156"/>
      <c r="V137" s="273"/>
      <c r="W137" s="273"/>
      <c r="X137" s="273"/>
      <c r="Y137" s="273"/>
      <c r="Z137" s="273"/>
      <c r="AA137" s="273"/>
      <c r="AC137" s="156"/>
      <c r="AD137" s="156"/>
      <c r="AE137" s="156"/>
      <c r="AF137" s="156"/>
      <c r="AG137" s="156"/>
      <c r="AH137" s="156"/>
      <c r="AI137" s="273"/>
      <c r="AJ137" s="279"/>
      <c r="AK137" s="273"/>
      <c r="AL137" s="273"/>
      <c r="AM137" s="273"/>
      <c r="AN137" s="273"/>
    </row>
    <row r="138" spans="1:40" x14ac:dyDescent="0.2">
      <c r="A138" s="450"/>
      <c r="B138" s="75">
        <v>17</v>
      </c>
      <c r="C138" s="110" t="s">
        <v>196</v>
      </c>
      <c r="D138" s="106">
        <v>634440.11</v>
      </c>
      <c r="E138" s="106">
        <v>353553.08</v>
      </c>
      <c r="F138" s="106">
        <v>452999.55</v>
      </c>
      <c r="G138" s="105">
        <v>492853.64</v>
      </c>
      <c r="H138" s="106">
        <v>215185.15</v>
      </c>
      <c r="I138" s="146">
        <v>495660.9</v>
      </c>
      <c r="J138" s="126">
        <v>303749.29000000004</v>
      </c>
      <c r="K138" s="89">
        <v>309655.31999999995</v>
      </c>
      <c r="L138" s="154">
        <v>281985.45</v>
      </c>
      <c r="M138" s="155">
        <v>254701.32</v>
      </c>
      <c r="N138" s="155">
        <v>461568.24</v>
      </c>
      <c r="O138" s="101"/>
      <c r="P138" s="207">
        <v>315587.48</v>
      </c>
      <c r="Q138" s="207">
        <v>315194.27</v>
      </c>
      <c r="R138" s="207">
        <v>205780.68</v>
      </c>
      <c r="S138" s="207">
        <v>257531.48</v>
      </c>
      <c r="T138" s="207">
        <v>291124.17</v>
      </c>
      <c r="U138" s="207">
        <v>249184.44</v>
      </c>
      <c r="V138" s="284">
        <v>264496.69</v>
      </c>
      <c r="W138" s="284">
        <v>297611.71000000002</v>
      </c>
      <c r="X138" s="283">
        <v>173554.05</v>
      </c>
      <c r="Y138" s="273">
        <v>343372.7</v>
      </c>
      <c r="Z138" s="273">
        <v>414971.51</v>
      </c>
      <c r="AA138" s="273">
        <v>626332.49</v>
      </c>
      <c r="AC138" s="207">
        <v>447612.43</v>
      </c>
      <c r="AD138" s="207">
        <v>703704.88</v>
      </c>
      <c r="AE138" s="207">
        <v>315411.14</v>
      </c>
      <c r="AF138" s="170">
        <v>603036.79</v>
      </c>
      <c r="AG138" s="207">
        <v>604119.54</v>
      </c>
      <c r="AH138" s="207">
        <v>468978.47</v>
      </c>
      <c r="AI138" s="284">
        <v>79453.84</v>
      </c>
      <c r="AJ138" s="279">
        <v>64132</v>
      </c>
      <c r="AK138" s="283">
        <v>486115.86</v>
      </c>
      <c r="AL138" s="273">
        <v>649709.80000000005</v>
      </c>
      <c r="AM138" s="273">
        <v>533452.9</v>
      </c>
      <c r="AN138" s="273"/>
    </row>
    <row r="139" spans="1:40" x14ac:dyDescent="0.2">
      <c r="A139" s="450"/>
      <c r="B139" s="75">
        <v>18</v>
      </c>
      <c r="C139" s="103" t="s">
        <v>197</v>
      </c>
      <c r="D139" s="106">
        <v>28513.85</v>
      </c>
      <c r="E139" s="145">
        <v>18566.490000000002</v>
      </c>
      <c r="F139" s="106">
        <v>11946.02</v>
      </c>
      <c r="G139" s="105">
        <v>15893.97</v>
      </c>
      <c r="H139" s="106">
        <v>10028</v>
      </c>
      <c r="I139" s="146">
        <v>8299.84</v>
      </c>
      <c r="J139" s="126">
        <v>12269.67</v>
      </c>
      <c r="K139" s="89">
        <v>13574.470000000001</v>
      </c>
      <c r="L139" s="154">
        <v>9032.8700000000008</v>
      </c>
      <c r="M139" s="155">
        <v>9253.41</v>
      </c>
      <c r="N139" s="155">
        <v>28382.11</v>
      </c>
      <c r="O139" s="101"/>
      <c r="P139" s="207">
        <v>27149.99</v>
      </c>
      <c r="Q139" s="207">
        <v>28123.11</v>
      </c>
      <c r="R139" s="207">
        <v>31649</v>
      </c>
      <c r="S139" s="207">
        <v>25106.799999999999</v>
      </c>
      <c r="T139" s="207">
        <v>33086.559999999998</v>
      </c>
      <c r="U139" s="207">
        <v>26399.98</v>
      </c>
      <c r="V139" s="284">
        <v>42335.15</v>
      </c>
      <c r="W139" s="284">
        <v>35241.97</v>
      </c>
      <c r="X139" s="284">
        <v>12375</v>
      </c>
      <c r="Y139" s="273">
        <v>31885.920000000002</v>
      </c>
      <c r="Z139" s="273">
        <v>28816.3</v>
      </c>
      <c r="AA139" s="273">
        <v>71088.2</v>
      </c>
      <c r="AC139" s="207">
        <v>28006.94</v>
      </c>
      <c r="AD139" s="207">
        <v>5759.99</v>
      </c>
      <c r="AE139" s="207">
        <v>4205.5600000000004</v>
      </c>
      <c r="AF139" s="170">
        <v>8695.5400000000009</v>
      </c>
      <c r="AG139" s="207">
        <v>42333.630000000005</v>
      </c>
      <c r="AH139" s="207">
        <v>24550</v>
      </c>
      <c r="AI139" s="284">
        <v>27966.94</v>
      </c>
      <c r="AJ139" s="279">
        <v>25048</v>
      </c>
      <c r="AK139" s="284">
        <v>2448.96</v>
      </c>
      <c r="AL139" s="273">
        <v>0</v>
      </c>
      <c r="AM139" s="273">
        <v>0</v>
      </c>
      <c r="AN139" s="273"/>
    </row>
    <row r="140" spans="1:40" x14ac:dyDescent="0.2">
      <c r="A140" s="450"/>
      <c r="B140" s="75">
        <v>19</v>
      </c>
      <c r="C140" s="103" t="s">
        <v>198</v>
      </c>
      <c r="D140" s="106">
        <v>140631.08000000002</v>
      </c>
      <c r="E140" s="145">
        <v>96009.78</v>
      </c>
      <c r="F140" s="106">
        <v>69654.52</v>
      </c>
      <c r="G140" s="105">
        <v>69699.34</v>
      </c>
      <c r="H140" s="106">
        <v>158203.03</v>
      </c>
      <c r="I140" s="146">
        <v>65909.69</v>
      </c>
      <c r="J140" s="126">
        <v>75621.099999999991</v>
      </c>
      <c r="K140" s="89">
        <v>65893.2</v>
      </c>
      <c r="L140" s="154">
        <v>63041.59</v>
      </c>
      <c r="M140" s="155">
        <v>64308.21</v>
      </c>
      <c r="N140" s="155">
        <v>161078.04</v>
      </c>
      <c r="O140" s="101"/>
      <c r="P140" s="207">
        <v>75794.880000000005</v>
      </c>
      <c r="Q140" s="207">
        <v>66344.86</v>
      </c>
      <c r="R140" s="207">
        <v>104701.91</v>
      </c>
      <c r="S140" s="207">
        <v>57522.28</v>
      </c>
      <c r="T140" s="207">
        <v>89614.52</v>
      </c>
      <c r="U140" s="207">
        <v>66138.52</v>
      </c>
      <c r="V140" s="284">
        <v>103904.9</v>
      </c>
      <c r="W140" s="284">
        <v>75617.8</v>
      </c>
      <c r="X140" s="284">
        <v>25014</v>
      </c>
      <c r="Y140" s="273">
        <v>70505.16</v>
      </c>
      <c r="Z140" s="273">
        <v>88897.67</v>
      </c>
      <c r="AA140" s="273">
        <v>159690.68</v>
      </c>
      <c r="AB140" s="323">
        <f>SUM(P140:AA140)</f>
        <v>983747.18000000017</v>
      </c>
      <c r="AC140" s="207">
        <v>81544.039999999994</v>
      </c>
      <c r="AD140" s="207">
        <v>59853.04</v>
      </c>
      <c r="AE140" s="207">
        <v>42482.28</v>
      </c>
      <c r="AF140" s="170">
        <v>54407</v>
      </c>
      <c r="AG140" s="207">
        <v>86641.64</v>
      </c>
      <c r="AH140" s="207">
        <v>64221.599999999999</v>
      </c>
      <c r="AI140" s="284">
        <v>108335.78</v>
      </c>
      <c r="AJ140" s="279">
        <v>68157</v>
      </c>
      <c r="AK140" s="284">
        <v>70999</v>
      </c>
      <c r="AL140" s="273">
        <v>83287</v>
      </c>
      <c r="AM140" s="273">
        <v>77958.399999999994</v>
      </c>
      <c r="AN140" s="273"/>
    </row>
    <row r="141" spans="1:40" s="388" customFormat="1" x14ac:dyDescent="0.2">
      <c r="A141" s="450"/>
      <c r="B141" s="373">
        <v>20</v>
      </c>
      <c r="C141" s="374" t="s">
        <v>199</v>
      </c>
      <c r="D141" s="375">
        <v>73101.890000000014</v>
      </c>
      <c r="E141" s="376">
        <v>24525.97</v>
      </c>
      <c r="F141" s="375">
        <v>13345.84</v>
      </c>
      <c r="G141" s="377">
        <v>17730.02</v>
      </c>
      <c r="H141" s="375">
        <v>37165.230000000003</v>
      </c>
      <c r="I141" s="378">
        <v>27307.809999999994</v>
      </c>
      <c r="J141" s="379">
        <v>8277.3099999999977</v>
      </c>
      <c r="K141" s="380">
        <v>15190.690000000002</v>
      </c>
      <c r="L141" s="381">
        <f>'[6]EGRESOS '!O308</f>
        <v>0</v>
      </c>
      <c r="M141" s="382">
        <f>'[6]EGRESOS '!P308</f>
        <v>0</v>
      </c>
      <c r="N141" s="382">
        <f>'[6]EGRESOS '!Q308</f>
        <v>0</v>
      </c>
      <c r="O141" s="383"/>
      <c r="P141" s="384">
        <v>55466.559999999998</v>
      </c>
      <c r="Q141" s="384">
        <v>40820.129999999997</v>
      </c>
      <c r="R141" s="384">
        <v>34148.629999999997</v>
      </c>
      <c r="S141" s="384">
        <v>5589.68</v>
      </c>
      <c r="T141" s="384">
        <v>14503.73</v>
      </c>
      <c r="U141" s="384">
        <v>22876.82</v>
      </c>
      <c r="V141" s="384">
        <v>25303.83</v>
      </c>
      <c r="W141" s="384">
        <v>22218.28</v>
      </c>
      <c r="X141" s="384">
        <v>8686</v>
      </c>
      <c r="Y141" s="385">
        <v>21008.639999999999</v>
      </c>
      <c r="Z141" s="385">
        <v>9216</v>
      </c>
      <c r="AA141" s="385">
        <v>8252.869999999999</v>
      </c>
      <c r="AB141" s="386"/>
      <c r="AC141" s="384">
        <v>43206.22</v>
      </c>
      <c r="AD141" s="384">
        <v>19303.66</v>
      </c>
      <c r="AE141" s="384">
        <v>24013.37</v>
      </c>
      <c r="AF141" s="387">
        <v>16273</v>
      </c>
      <c r="AG141" s="384">
        <v>531495.88000000012</v>
      </c>
      <c r="AH141" s="384">
        <v>1327502.99</v>
      </c>
      <c r="AI141" s="384">
        <v>605643.95000000007</v>
      </c>
      <c r="AJ141" s="387">
        <v>568223.60000000009</v>
      </c>
      <c r="AK141" s="384">
        <v>26813.26</v>
      </c>
      <c r="AL141" s="385">
        <v>12258</v>
      </c>
      <c r="AM141" s="385">
        <v>8555</v>
      </c>
      <c r="AN141" s="385"/>
    </row>
    <row r="142" spans="1:40" x14ac:dyDescent="0.25">
      <c r="A142" s="450"/>
      <c r="B142" s="75">
        <v>21</v>
      </c>
      <c r="C142" s="103" t="s">
        <v>200</v>
      </c>
      <c r="D142" s="106"/>
      <c r="E142" s="145"/>
      <c r="F142" s="106"/>
      <c r="G142" s="142"/>
      <c r="H142" s="106"/>
      <c r="I142" s="146"/>
      <c r="J142" s="126"/>
      <c r="K142" s="89"/>
      <c r="L142" s="98"/>
      <c r="M142" s="153"/>
      <c r="N142" s="153"/>
      <c r="O142" s="101"/>
      <c r="P142" s="156"/>
      <c r="Q142" s="156"/>
      <c r="R142" s="156"/>
      <c r="S142" s="156"/>
      <c r="T142" s="156"/>
      <c r="U142" s="156"/>
      <c r="V142" s="273"/>
      <c r="W142" s="273"/>
      <c r="X142" s="273"/>
      <c r="Y142" s="273"/>
      <c r="Z142" s="273">
        <f>SUM(Z136:Z138)</f>
        <v>1254129.78</v>
      </c>
      <c r="AA142" s="273">
        <f>SUM(AA136:AA138)</f>
        <v>2226790.71</v>
      </c>
      <c r="AC142" s="156"/>
      <c r="AD142" s="156"/>
      <c r="AE142" s="156"/>
      <c r="AF142" s="170"/>
      <c r="AG142" s="156"/>
      <c r="AH142" s="156"/>
      <c r="AI142" s="273"/>
      <c r="AJ142" s="279"/>
      <c r="AK142" s="273"/>
      <c r="AL142" s="273"/>
      <c r="AM142" s="273"/>
      <c r="AN142" s="273"/>
    </row>
    <row r="143" spans="1:40" s="304" customFormat="1" x14ac:dyDescent="0.2">
      <c r="A143" s="450"/>
      <c r="B143" s="291">
        <v>22</v>
      </c>
      <c r="C143" s="292" t="s">
        <v>201</v>
      </c>
      <c r="D143" s="293">
        <v>362052.32999999996</v>
      </c>
      <c r="E143" s="294">
        <v>182902</v>
      </c>
      <c r="F143" s="293">
        <v>196115</v>
      </c>
      <c r="G143" s="295">
        <v>294014</v>
      </c>
      <c r="H143" s="293">
        <v>178171</v>
      </c>
      <c r="I143" s="296">
        <v>176618</v>
      </c>
      <c r="J143" s="85">
        <v>158472</v>
      </c>
      <c r="K143" s="297">
        <v>167636</v>
      </c>
      <c r="L143" s="298">
        <f>'[6]EGRESOS '!O286</f>
        <v>158472</v>
      </c>
      <c r="M143" s="299">
        <f>'[6]EGRESOS '!P286</f>
        <v>167636</v>
      </c>
      <c r="N143" s="299">
        <f>'[6]EGRESOS '!Q286</f>
        <v>169212</v>
      </c>
      <c r="O143" s="300"/>
      <c r="P143" s="301">
        <v>206850</v>
      </c>
      <c r="Q143" s="301">
        <v>144758</v>
      </c>
      <c r="R143" s="301">
        <v>66505</v>
      </c>
      <c r="S143" s="301">
        <v>151316</v>
      </c>
      <c r="T143" s="301">
        <v>149424</v>
      </c>
      <c r="U143" s="301">
        <v>135060</v>
      </c>
      <c r="V143" s="301">
        <v>143242</v>
      </c>
      <c r="W143" s="301">
        <v>192667</v>
      </c>
      <c r="X143" s="301">
        <v>124897</v>
      </c>
      <c r="Y143" s="302">
        <v>250991</v>
      </c>
      <c r="Z143" s="302">
        <v>297258</v>
      </c>
      <c r="AA143" s="302">
        <v>273438</v>
      </c>
      <c r="AB143" s="323">
        <f>SUM(P143:AA143)</f>
        <v>2136406</v>
      </c>
      <c r="AC143" s="301">
        <v>212062</v>
      </c>
      <c r="AD143" s="301">
        <v>250881</v>
      </c>
      <c r="AE143" s="301">
        <v>235424.24</v>
      </c>
      <c r="AF143" s="303">
        <v>319361</v>
      </c>
      <c r="AG143" s="301">
        <v>274850</v>
      </c>
      <c r="AH143" s="301">
        <v>295078</v>
      </c>
      <c r="AI143" s="301">
        <v>325482</v>
      </c>
      <c r="AJ143" s="303">
        <v>405882</v>
      </c>
      <c r="AK143" s="301">
        <v>331967</v>
      </c>
      <c r="AL143" s="302">
        <v>435089</v>
      </c>
      <c r="AM143" s="302">
        <v>351092</v>
      </c>
      <c r="AN143" s="302"/>
    </row>
    <row r="144" spans="1:40" s="304" customFormat="1" x14ac:dyDescent="0.2">
      <c r="A144" s="450"/>
      <c r="B144" s="291">
        <v>23</v>
      </c>
      <c r="C144" s="292" t="s">
        <v>202</v>
      </c>
      <c r="D144" s="293">
        <v>24914.48</v>
      </c>
      <c r="E144" s="294">
        <v>16415</v>
      </c>
      <c r="F144" s="293">
        <v>9569</v>
      </c>
      <c r="G144" s="295">
        <v>9852</v>
      </c>
      <c r="H144" s="293">
        <v>11572</v>
      </c>
      <c r="I144" s="296">
        <v>17236</v>
      </c>
      <c r="J144" s="85">
        <v>12849</v>
      </c>
      <c r="K144" s="297">
        <v>17764</v>
      </c>
      <c r="L144" s="298">
        <f>'[6]EGRESOS '!O83</f>
        <v>12849</v>
      </c>
      <c r="M144" s="299">
        <f>'[6]EGRESOS '!P83</f>
        <v>17764</v>
      </c>
      <c r="N144" s="299">
        <f>'[6]EGRESOS '!Q83</f>
        <v>14870</v>
      </c>
      <c r="O144" s="300"/>
      <c r="P144" s="301">
        <v>20669</v>
      </c>
      <c r="Q144" s="301">
        <v>9633</v>
      </c>
      <c r="R144" s="301">
        <v>6738</v>
      </c>
      <c r="S144" s="301">
        <v>6967</v>
      </c>
      <c r="T144" s="301">
        <v>27999.07</v>
      </c>
      <c r="U144" s="301">
        <v>9229</v>
      </c>
      <c r="V144" s="301">
        <v>27946</v>
      </c>
      <c r="W144" s="301">
        <v>19559</v>
      </c>
      <c r="X144" s="302">
        <v>0</v>
      </c>
      <c r="Y144" s="302">
        <v>21136</v>
      </c>
      <c r="Z144" s="302">
        <v>27622</v>
      </c>
      <c r="AA144" s="302">
        <v>18717</v>
      </c>
      <c r="AB144" s="323">
        <f>SUM(P144:AA144)</f>
        <v>196215.07</v>
      </c>
      <c r="AC144" s="301">
        <v>34951</v>
      </c>
      <c r="AD144" s="301">
        <v>15671</v>
      </c>
      <c r="AE144" s="301">
        <v>19958</v>
      </c>
      <c r="AF144" s="303">
        <v>13189</v>
      </c>
      <c r="AG144" s="301">
        <v>21932</v>
      </c>
      <c r="AH144" s="301">
        <v>13318</v>
      </c>
      <c r="AI144" s="301">
        <v>23104.38</v>
      </c>
      <c r="AJ144" s="303">
        <v>16500</v>
      </c>
      <c r="AK144" s="302">
        <v>8602</v>
      </c>
      <c r="AL144" s="302">
        <v>31747</v>
      </c>
      <c r="AM144" s="302">
        <v>22042</v>
      </c>
      <c r="AN144" s="302"/>
    </row>
    <row r="145" spans="1:40" x14ac:dyDescent="0.2">
      <c r="A145" s="450"/>
      <c r="B145" s="75">
        <v>24</v>
      </c>
      <c r="C145" s="103" t="s">
        <v>203</v>
      </c>
      <c r="D145" s="106">
        <v>0</v>
      </c>
      <c r="E145" s="145">
        <v>0</v>
      </c>
      <c r="F145" s="106">
        <v>0</v>
      </c>
      <c r="G145" s="124"/>
      <c r="H145" s="106">
        <v>0</v>
      </c>
      <c r="I145" s="146"/>
      <c r="J145" s="126">
        <v>0</v>
      </c>
      <c r="K145" s="89">
        <v>0</v>
      </c>
      <c r="L145" s="125">
        <v>0</v>
      </c>
      <c r="M145" s="148">
        <v>0</v>
      </c>
      <c r="N145" s="148">
        <v>0</v>
      </c>
      <c r="O145" s="101"/>
      <c r="P145" s="156" t="s">
        <v>319</v>
      </c>
      <c r="Q145" s="156" t="s">
        <v>319</v>
      </c>
      <c r="R145" s="207">
        <f>+R144+S144</f>
        <v>13705</v>
      </c>
      <c r="S145" s="156" t="s">
        <v>319</v>
      </c>
      <c r="T145" s="156" t="s">
        <v>319</v>
      </c>
      <c r="U145" s="156" t="s">
        <v>320</v>
      </c>
      <c r="V145" s="273" t="s">
        <v>321</v>
      </c>
      <c r="W145" s="273"/>
      <c r="X145" s="273"/>
      <c r="Y145" s="273">
        <v>0</v>
      </c>
      <c r="Z145" s="273">
        <v>0</v>
      </c>
      <c r="AA145" s="273">
        <v>0</v>
      </c>
      <c r="AB145" s="101"/>
      <c r="AC145" s="156"/>
      <c r="AD145" s="156"/>
      <c r="AE145" s="156"/>
      <c r="AF145" s="170">
        <v>0</v>
      </c>
      <c r="AG145" s="156">
        <v>0</v>
      </c>
      <c r="AH145" s="156">
        <v>0</v>
      </c>
      <c r="AI145" s="273">
        <v>0</v>
      </c>
      <c r="AJ145" s="279">
        <v>0</v>
      </c>
      <c r="AK145" s="273">
        <v>0</v>
      </c>
      <c r="AL145" s="273">
        <v>0</v>
      </c>
      <c r="AM145" s="273"/>
      <c r="AN145" s="273"/>
    </row>
    <row r="146" spans="1:40" x14ac:dyDescent="0.2">
      <c r="A146" s="450"/>
      <c r="B146" s="75">
        <v>25</v>
      </c>
      <c r="C146" s="103" t="s">
        <v>204</v>
      </c>
      <c r="D146" s="106">
        <v>634229.99</v>
      </c>
      <c r="E146" s="145">
        <v>313642.67</v>
      </c>
      <c r="F146" s="106">
        <v>301681.23</v>
      </c>
      <c r="G146" s="105">
        <v>289455</v>
      </c>
      <c r="H146" s="106">
        <v>275419.98</v>
      </c>
      <c r="I146" s="146">
        <v>289371.66000000003</v>
      </c>
      <c r="J146" s="126">
        <v>298100</v>
      </c>
      <c r="K146" s="89">
        <v>298471.66000000003</v>
      </c>
      <c r="L146" s="154">
        <v>293310</v>
      </c>
      <c r="M146" s="155">
        <v>296910</v>
      </c>
      <c r="N146" s="155">
        <v>314231.64</v>
      </c>
      <c r="O146" s="101"/>
      <c r="P146" s="207">
        <v>299945</v>
      </c>
      <c r="Q146" s="207">
        <v>365687</v>
      </c>
      <c r="R146" s="207">
        <v>375311</v>
      </c>
      <c r="S146" s="207">
        <v>329249</v>
      </c>
      <c r="T146" s="207">
        <v>327467.40000000002</v>
      </c>
      <c r="U146" s="207">
        <v>341683.79</v>
      </c>
      <c r="V146" s="284">
        <v>334724</v>
      </c>
      <c r="W146" s="284">
        <v>339568</v>
      </c>
      <c r="X146" s="284">
        <v>170294</v>
      </c>
      <c r="Y146" s="273">
        <v>353438</v>
      </c>
      <c r="Z146" s="273">
        <v>357427</v>
      </c>
      <c r="AA146" s="273">
        <v>926702.54</v>
      </c>
      <c r="AB146" s="100"/>
      <c r="AC146" s="207">
        <v>318770</v>
      </c>
      <c r="AD146" s="207">
        <v>356125.38</v>
      </c>
      <c r="AE146" s="207">
        <v>179275.38</v>
      </c>
      <c r="AF146" s="170">
        <v>356873.38</v>
      </c>
      <c r="AG146" s="207">
        <v>200159.19999999998</v>
      </c>
      <c r="AH146" s="207">
        <v>185288.56</v>
      </c>
      <c r="AI146" s="284">
        <v>253116.69</v>
      </c>
      <c r="AJ146" s="279">
        <v>277906.98</v>
      </c>
      <c r="AK146" s="284">
        <v>378202.38</v>
      </c>
      <c r="AL146" s="273">
        <v>349761.4</v>
      </c>
      <c r="AM146" s="273">
        <v>384040.38</v>
      </c>
      <c r="AN146" s="273"/>
    </row>
    <row r="147" spans="1:40" x14ac:dyDescent="0.2">
      <c r="A147" s="450"/>
      <c r="B147" s="75">
        <v>26</v>
      </c>
      <c r="C147" s="103" t="s">
        <v>205</v>
      </c>
      <c r="D147" s="106">
        <v>0</v>
      </c>
      <c r="E147" s="145"/>
      <c r="F147" s="145">
        <v>0</v>
      </c>
      <c r="G147" s="105">
        <v>0</v>
      </c>
      <c r="H147" s="106"/>
      <c r="I147" s="146">
        <v>0</v>
      </c>
      <c r="J147" s="126">
        <v>0</v>
      </c>
      <c r="K147" s="89">
        <v>0</v>
      </c>
      <c r="L147" s="154">
        <v>0</v>
      </c>
      <c r="M147" s="155">
        <v>0</v>
      </c>
      <c r="N147" s="155">
        <v>0</v>
      </c>
      <c r="O147" s="101"/>
      <c r="P147" s="156" t="s">
        <v>319</v>
      </c>
      <c r="Q147" s="156" t="s">
        <v>319</v>
      </c>
      <c r="R147" s="156" t="s">
        <v>319</v>
      </c>
      <c r="S147" s="156" t="s">
        <v>319</v>
      </c>
      <c r="T147" s="156" t="s">
        <v>319</v>
      </c>
      <c r="U147" s="156" t="s">
        <v>320</v>
      </c>
      <c r="V147" s="284">
        <f>+V146+W146</f>
        <v>674292</v>
      </c>
      <c r="W147" s="273"/>
      <c r="X147" s="273"/>
      <c r="Y147" s="273">
        <v>0</v>
      </c>
      <c r="Z147" s="273">
        <v>0</v>
      </c>
      <c r="AA147" s="273">
        <v>0</v>
      </c>
      <c r="AB147" s="101"/>
      <c r="AC147" s="156"/>
      <c r="AD147" s="156"/>
      <c r="AE147" s="156"/>
      <c r="AF147" s="170"/>
      <c r="AG147" s="156">
        <v>0</v>
      </c>
      <c r="AH147" s="156">
        <v>0</v>
      </c>
      <c r="AI147" s="273">
        <v>0</v>
      </c>
      <c r="AJ147" s="279">
        <v>0</v>
      </c>
      <c r="AK147" s="273"/>
      <c r="AL147" s="273"/>
      <c r="AM147" s="273"/>
      <c r="AN147" s="273"/>
    </row>
    <row r="148" spans="1:40" s="304" customFormat="1" x14ac:dyDescent="0.2">
      <c r="A148" s="450"/>
      <c r="B148" s="291">
        <v>27</v>
      </c>
      <c r="C148" s="292" t="s">
        <v>206</v>
      </c>
      <c r="D148" s="293">
        <v>39007</v>
      </c>
      <c r="E148" s="293">
        <v>0</v>
      </c>
      <c r="F148" s="293">
        <v>139872</v>
      </c>
      <c r="G148" s="199"/>
      <c r="H148" s="293">
        <v>0</v>
      </c>
      <c r="I148" s="296">
        <v>173463</v>
      </c>
      <c r="J148" s="85">
        <v>0</v>
      </c>
      <c r="K148" s="297">
        <v>0</v>
      </c>
      <c r="L148" s="44">
        <v>0</v>
      </c>
      <c r="M148" s="305">
        <v>0</v>
      </c>
      <c r="N148" s="305">
        <v>0</v>
      </c>
      <c r="O148" s="300"/>
      <c r="P148" s="302" t="s">
        <v>319</v>
      </c>
      <c r="Q148" s="302" t="s">
        <v>319</v>
      </c>
      <c r="R148" s="302" t="s">
        <v>319</v>
      </c>
      <c r="S148" s="302" t="s">
        <v>319</v>
      </c>
      <c r="T148" s="302" t="s">
        <v>319</v>
      </c>
      <c r="U148" s="302" t="s">
        <v>320</v>
      </c>
      <c r="V148" s="302" t="s">
        <v>321</v>
      </c>
      <c r="W148" s="302"/>
      <c r="X148" s="302"/>
      <c r="Y148" s="302">
        <v>0</v>
      </c>
      <c r="Z148" s="302">
        <v>0</v>
      </c>
      <c r="AA148" s="302">
        <v>0</v>
      </c>
      <c r="AB148" s="300"/>
      <c r="AC148" s="302"/>
      <c r="AD148" s="302">
        <v>230871</v>
      </c>
      <c r="AE148" s="302"/>
      <c r="AF148" s="303">
        <v>49075</v>
      </c>
      <c r="AG148" s="302">
        <v>0</v>
      </c>
      <c r="AH148" s="302">
        <v>0</v>
      </c>
      <c r="AI148" s="302">
        <v>0</v>
      </c>
      <c r="AJ148" s="303">
        <v>0</v>
      </c>
      <c r="AK148" s="302"/>
      <c r="AL148" s="302">
        <v>50877</v>
      </c>
      <c r="AM148" s="302"/>
      <c r="AN148" s="302"/>
    </row>
    <row r="149" spans="1:40" s="304" customFormat="1" x14ac:dyDescent="0.2">
      <c r="A149" s="450"/>
      <c r="B149" s="291">
        <v>28</v>
      </c>
      <c r="C149" s="292" t="s">
        <v>207</v>
      </c>
      <c r="G149" s="295">
        <v>0</v>
      </c>
      <c r="H149" s="293"/>
      <c r="I149" s="296">
        <v>0</v>
      </c>
      <c r="J149" s="85">
        <v>0</v>
      </c>
      <c r="K149" s="297">
        <v>0</v>
      </c>
      <c r="L149" s="298">
        <v>0</v>
      </c>
      <c r="M149" s="299">
        <v>0</v>
      </c>
      <c r="N149" s="299">
        <v>0</v>
      </c>
      <c r="O149" s="300"/>
      <c r="P149" s="302" t="s">
        <v>319</v>
      </c>
      <c r="Q149" s="302" t="s">
        <v>319</v>
      </c>
      <c r="R149" s="302" t="s">
        <v>319</v>
      </c>
      <c r="S149" s="302" t="s">
        <v>319</v>
      </c>
      <c r="T149" s="302" t="s">
        <v>319</v>
      </c>
      <c r="U149" s="302" t="s">
        <v>320</v>
      </c>
      <c r="V149" s="302" t="s">
        <v>321</v>
      </c>
      <c r="W149" s="302"/>
      <c r="X149" s="302"/>
      <c r="Y149" s="302">
        <v>0</v>
      </c>
      <c r="Z149" s="302">
        <v>0</v>
      </c>
      <c r="AA149" s="302">
        <v>0</v>
      </c>
      <c r="AB149" s="300"/>
      <c r="AC149" s="302"/>
      <c r="AD149" s="302"/>
      <c r="AE149" s="302"/>
      <c r="AF149" s="303">
        <v>0</v>
      </c>
      <c r="AG149" s="302">
        <v>0</v>
      </c>
      <c r="AH149" s="302">
        <v>0</v>
      </c>
      <c r="AI149" s="302">
        <v>0</v>
      </c>
      <c r="AJ149" s="302">
        <v>0</v>
      </c>
      <c r="AK149" s="302"/>
      <c r="AL149" s="302"/>
      <c r="AM149" s="302"/>
      <c r="AN149" s="302"/>
    </row>
    <row r="150" spans="1:40" x14ac:dyDescent="0.2">
      <c r="A150" s="450"/>
      <c r="B150" s="75">
        <v>29</v>
      </c>
      <c r="C150" s="103" t="s">
        <v>208</v>
      </c>
      <c r="D150" s="106">
        <v>0</v>
      </c>
      <c r="E150" s="106">
        <v>0</v>
      </c>
      <c r="F150" s="106"/>
      <c r="G150" s="106"/>
      <c r="H150" s="106"/>
      <c r="I150" s="146">
        <v>0</v>
      </c>
      <c r="J150" s="126">
        <v>0</v>
      </c>
      <c r="K150" s="89">
        <v>0</v>
      </c>
      <c r="L150" s="154">
        <v>0</v>
      </c>
      <c r="M150" s="155">
        <v>0</v>
      </c>
      <c r="N150" s="155">
        <v>0</v>
      </c>
      <c r="O150" s="101"/>
      <c r="P150" s="156" t="s">
        <v>319</v>
      </c>
      <c r="Q150" s="156" t="s">
        <v>319</v>
      </c>
      <c r="R150" s="156" t="s">
        <v>319</v>
      </c>
      <c r="S150" s="156" t="s">
        <v>319</v>
      </c>
      <c r="T150" s="156" t="s">
        <v>319</v>
      </c>
      <c r="U150" s="156" t="s">
        <v>320</v>
      </c>
      <c r="V150" s="273" t="s">
        <v>321</v>
      </c>
      <c r="W150" s="273"/>
      <c r="X150" s="273"/>
      <c r="Y150" s="273">
        <v>0</v>
      </c>
      <c r="Z150" s="273">
        <v>0</v>
      </c>
      <c r="AA150" s="273">
        <v>0</v>
      </c>
      <c r="AB150" s="101"/>
      <c r="AC150" s="156"/>
      <c r="AD150" s="156"/>
      <c r="AE150" s="156"/>
      <c r="AF150" s="170">
        <v>0</v>
      </c>
      <c r="AG150" s="156">
        <v>0</v>
      </c>
      <c r="AH150" s="156">
        <v>0</v>
      </c>
      <c r="AI150" s="273">
        <v>0</v>
      </c>
      <c r="AJ150" s="273">
        <v>0</v>
      </c>
      <c r="AK150" s="273"/>
      <c r="AL150" s="273"/>
      <c r="AM150" s="273"/>
      <c r="AN150" s="273"/>
    </row>
    <row r="151" spans="1:40" x14ac:dyDescent="0.2">
      <c r="A151" s="450"/>
      <c r="B151" s="75">
        <v>30</v>
      </c>
      <c r="C151" s="103" t="s">
        <v>209</v>
      </c>
      <c r="D151" s="106">
        <v>0</v>
      </c>
      <c r="E151" s="106">
        <v>0</v>
      </c>
      <c r="F151" s="106"/>
      <c r="G151" s="106"/>
      <c r="H151" s="106"/>
      <c r="I151" s="146">
        <v>0</v>
      </c>
      <c r="J151" s="126">
        <v>0</v>
      </c>
      <c r="K151" s="89">
        <v>0</v>
      </c>
      <c r="L151" s="154">
        <v>0</v>
      </c>
      <c r="M151" s="155">
        <v>304500</v>
      </c>
      <c r="N151" s="155">
        <v>0</v>
      </c>
      <c r="O151" s="101"/>
      <c r="P151" s="156" t="s">
        <v>319</v>
      </c>
      <c r="Q151" s="156" t="s">
        <v>319</v>
      </c>
      <c r="R151" s="207">
        <v>91350</v>
      </c>
      <c r="S151" s="156"/>
      <c r="T151" s="156" t="s">
        <v>319</v>
      </c>
      <c r="U151" s="156" t="s">
        <v>320</v>
      </c>
      <c r="V151" s="273" t="s">
        <v>321</v>
      </c>
      <c r="W151" s="273"/>
      <c r="X151" s="273"/>
      <c r="Y151" s="273">
        <v>0</v>
      </c>
      <c r="Z151" s="273">
        <v>0</v>
      </c>
      <c r="AA151" s="273">
        <v>0</v>
      </c>
      <c r="AB151" s="101"/>
      <c r="AC151" s="156"/>
      <c r="AD151" s="156"/>
      <c r="AE151" s="207"/>
      <c r="AF151" s="170">
        <v>0</v>
      </c>
      <c r="AG151" s="156">
        <v>0</v>
      </c>
      <c r="AH151" s="156">
        <v>0</v>
      </c>
      <c r="AI151" s="273">
        <v>0</v>
      </c>
      <c r="AJ151" s="273">
        <v>0</v>
      </c>
      <c r="AK151" s="273"/>
      <c r="AL151" s="273"/>
      <c r="AM151" s="273"/>
      <c r="AN151" s="273"/>
    </row>
    <row r="152" spans="1:40" x14ac:dyDescent="0.2">
      <c r="A152" s="451"/>
      <c r="B152" s="75">
        <v>31</v>
      </c>
      <c r="C152" s="103" t="s">
        <v>210</v>
      </c>
      <c r="D152" s="99">
        <v>0</v>
      </c>
      <c r="E152" s="99">
        <v>0</v>
      </c>
      <c r="F152" s="99"/>
      <c r="G152" s="99"/>
      <c r="H152" s="106"/>
      <c r="I152" s="107">
        <v>0</v>
      </c>
      <c r="J152" s="85">
        <v>0</v>
      </c>
      <c r="K152" s="86">
        <v>0</v>
      </c>
      <c r="L152" s="26">
        <v>0</v>
      </c>
      <c r="M152" s="25">
        <v>0</v>
      </c>
      <c r="N152" s="25">
        <v>82700</v>
      </c>
      <c r="O152" s="101"/>
      <c r="P152" s="156" t="s">
        <v>319</v>
      </c>
      <c r="Q152" s="156" t="s">
        <v>319</v>
      </c>
      <c r="R152" s="156" t="s">
        <v>319</v>
      </c>
      <c r="S152" s="156" t="s">
        <v>319</v>
      </c>
      <c r="T152" s="156" t="s">
        <v>319</v>
      </c>
      <c r="U152" s="156" t="s">
        <v>320</v>
      </c>
      <c r="V152" s="273" t="s">
        <v>321</v>
      </c>
      <c r="W152" s="273"/>
      <c r="X152" s="273"/>
      <c r="Y152" s="273">
        <v>0</v>
      </c>
      <c r="Z152" s="273">
        <v>0</v>
      </c>
      <c r="AA152" s="273">
        <v>34838.589999999997</v>
      </c>
      <c r="AB152" s="101"/>
      <c r="AC152" s="156"/>
      <c r="AD152" s="156"/>
      <c r="AE152" s="156"/>
      <c r="AF152" s="170">
        <v>0</v>
      </c>
      <c r="AG152" s="156">
        <v>0</v>
      </c>
      <c r="AH152" s="156">
        <v>0</v>
      </c>
      <c r="AI152" s="273">
        <v>0</v>
      </c>
      <c r="AJ152" s="273">
        <v>0</v>
      </c>
      <c r="AK152" s="273">
        <v>303678</v>
      </c>
      <c r="AL152" s="273"/>
      <c r="AM152" s="273"/>
      <c r="AN152" s="273"/>
    </row>
    <row r="153" spans="1:40" x14ac:dyDescent="0.25">
      <c r="A153" s="111"/>
      <c r="B153" s="112"/>
      <c r="C153" s="113"/>
      <c r="D153" s="114">
        <v>0</v>
      </c>
      <c r="E153" s="114">
        <v>0</v>
      </c>
      <c r="F153" s="114"/>
      <c r="G153" s="114">
        <f>SUM(G136:G152)</f>
        <v>2004359.3</v>
      </c>
      <c r="H153" s="115">
        <f>SUM(H136:H152)</f>
        <v>1598660.98</v>
      </c>
      <c r="I153" s="116">
        <v>1253866.8999999999</v>
      </c>
      <c r="J153" s="85"/>
      <c r="K153" s="86"/>
      <c r="L153" s="27"/>
      <c r="M153" s="28"/>
      <c r="N153" s="28"/>
      <c r="O153" s="101"/>
      <c r="P153" s="207">
        <v>1001462.91</v>
      </c>
      <c r="Q153" s="207">
        <v>970560.37</v>
      </c>
      <c r="R153" s="207">
        <v>916184.22</v>
      </c>
      <c r="S153" s="207">
        <v>833282.24</v>
      </c>
      <c r="T153" s="207">
        <v>933219.45</v>
      </c>
      <c r="U153" s="207">
        <v>850572.55</v>
      </c>
      <c r="V153" s="284">
        <v>941952.57</v>
      </c>
      <c r="W153" s="284">
        <v>982483.76</v>
      </c>
      <c r="X153" s="284">
        <v>514820.05</v>
      </c>
      <c r="Y153" s="273">
        <v>1092337.42</v>
      </c>
      <c r="Z153" s="273">
        <v>1224208.48</v>
      </c>
      <c r="AA153" s="273">
        <v>2119060.3699999996</v>
      </c>
      <c r="AB153" s="101"/>
      <c r="AC153" s="207"/>
      <c r="AD153" s="207"/>
      <c r="AE153" s="207"/>
      <c r="AF153" s="170"/>
      <c r="AG153" s="207"/>
      <c r="AH153" s="207"/>
      <c r="AI153" s="284"/>
      <c r="AJ153" s="284"/>
      <c r="AK153" s="284"/>
      <c r="AL153" s="273"/>
      <c r="AM153" s="273"/>
      <c r="AN153" s="273"/>
    </row>
    <row r="154" spans="1:40" x14ac:dyDescent="0.2">
      <c r="A154" s="94"/>
      <c r="B154" s="94"/>
      <c r="C154" s="95"/>
      <c r="D154" s="117">
        <v>1936890.73</v>
      </c>
      <c r="E154" s="117">
        <v>1005614.99</v>
      </c>
      <c r="F154" s="117">
        <v>1195183.1599999999</v>
      </c>
      <c r="G154" s="117"/>
      <c r="H154" s="117"/>
      <c r="I154" s="117"/>
      <c r="J154" s="85"/>
      <c r="K154" s="86"/>
      <c r="L154" s="70"/>
      <c r="M154" s="24"/>
      <c r="N154" s="24"/>
      <c r="O154" s="101"/>
      <c r="P154" s="156"/>
      <c r="Q154" s="156"/>
      <c r="R154" s="156"/>
      <c r="S154" s="156"/>
      <c r="T154" s="156"/>
      <c r="U154" s="156"/>
      <c r="V154" s="273"/>
      <c r="W154" s="273"/>
      <c r="X154" s="273"/>
      <c r="Y154" s="273"/>
      <c r="Z154" s="273">
        <f>SUM(Z119:Z153)</f>
        <v>6351571.0399999991</v>
      </c>
      <c r="AA154" s="273">
        <f>SUM(AA119:AA153)</f>
        <v>9885760.2599999998</v>
      </c>
      <c r="AB154" s="101"/>
      <c r="AC154" s="156"/>
      <c r="AD154" s="156"/>
      <c r="AE154" s="156"/>
      <c r="AF154" s="170"/>
      <c r="AG154" s="156"/>
      <c r="AH154" s="156"/>
      <c r="AI154" s="283">
        <f>SUM(AI136:AI153)</f>
        <v>2626632.9500000002</v>
      </c>
      <c r="AJ154" s="273">
        <f>SUM(AJ136:AJ153)</f>
        <v>2841383.37</v>
      </c>
      <c r="AK154" s="273"/>
      <c r="AL154" s="273"/>
      <c r="AM154" s="273"/>
      <c r="AN154" s="273"/>
    </row>
    <row r="155" spans="1:40" x14ac:dyDescent="0.2">
      <c r="A155" s="448"/>
      <c r="B155" s="118"/>
      <c r="C155" s="121"/>
      <c r="D155" s="122"/>
      <c r="E155" s="22"/>
      <c r="F155" s="122"/>
      <c r="G155" s="122"/>
      <c r="H155" s="122"/>
      <c r="I155" s="122"/>
      <c r="J155" s="122"/>
      <c r="K155" s="22"/>
      <c r="L155" s="119"/>
      <c r="M155" s="21"/>
      <c r="N155" s="21"/>
      <c r="O155" s="21"/>
    </row>
    <row r="156" spans="1:40" x14ac:dyDescent="0.2">
      <c r="A156" s="448"/>
      <c r="B156" s="118"/>
      <c r="C156" s="121"/>
      <c r="D156" s="122"/>
      <c r="E156" s="22"/>
      <c r="F156" s="122"/>
      <c r="G156" s="122"/>
      <c r="H156" s="122"/>
      <c r="I156" s="122"/>
      <c r="J156" s="122"/>
      <c r="K156" s="22"/>
      <c r="L156" s="119"/>
      <c r="M156" s="21"/>
      <c r="N156" s="21"/>
      <c r="O156" s="21"/>
    </row>
    <row r="157" spans="1:40" x14ac:dyDescent="0.2">
      <c r="A157" s="448"/>
      <c r="B157" s="118"/>
      <c r="C157" s="121"/>
      <c r="D157" s="122"/>
      <c r="E157" s="22"/>
      <c r="F157" s="122"/>
      <c r="G157" s="122"/>
      <c r="H157" s="122"/>
      <c r="I157" s="122"/>
      <c r="J157" s="122"/>
      <c r="K157" s="22"/>
      <c r="L157" s="119"/>
      <c r="M157" s="21"/>
      <c r="N157" s="21"/>
      <c r="O157" s="21"/>
    </row>
    <row r="158" spans="1:40" x14ac:dyDescent="0.25">
      <c r="A158" s="118"/>
      <c r="B158" s="118"/>
      <c r="C158" s="121"/>
      <c r="D158" s="122"/>
      <c r="E158" s="22"/>
      <c r="F158" s="122"/>
      <c r="G158" s="122"/>
      <c r="H158" s="122"/>
      <c r="I158" s="122"/>
      <c r="J158" s="122"/>
      <c r="K158" s="22"/>
      <c r="L158" s="119"/>
      <c r="M158" s="22"/>
      <c r="N158" s="22"/>
      <c r="O158" s="22"/>
    </row>
    <row r="159" spans="1:40" x14ac:dyDescent="0.2">
      <c r="A159" s="118"/>
      <c r="B159" s="118"/>
      <c r="C159" s="121"/>
      <c r="D159" s="123"/>
      <c r="E159" s="22"/>
      <c r="F159" s="123"/>
      <c r="G159" s="123"/>
      <c r="H159" s="123"/>
      <c r="I159" s="123"/>
      <c r="J159" s="123"/>
      <c r="K159" s="22"/>
      <c r="L159" s="119"/>
      <c r="M159" s="20"/>
      <c r="N159" s="20"/>
      <c r="O159" s="20"/>
    </row>
    <row r="160" spans="1:40" x14ac:dyDescent="0.25">
      <c r="A160" s="447"/>
      <c r="B160" s="447"/>
      <c r="C160" s="447"/>
      <c r="D160" s="123"/>
      <c r="E160" s="22"/>
      <c r="F160" s="123"/>
      <c r="G160" s="123"/>
      <c r="H160" s="119"/>
      <c r="I160" s="119"/>
      <c r="J160" s="119"/>
      <c r="K160" s="22"/>
      <c r="L160" s="119"/>
      <c r="M160" s="23"/>
      <c r="N160" s="23"/>
      <c r="O160" s="22"/>
    </row>
  </sheetData>
  <mergeCells count="20">
    <mergeCell ref="T14:W14"/>
    <mergeCell ref="A1:I2"/>
    <mergeCell ref="A5:A14"/>
    <mergeCell ref="D5:I5"/>
    <mergeCell ref="D6:I6"/>
    <mergeCell ref="D7:I7"/>
    <mergeCell ref="D8:I8"/>
    <mergeCell ref="D9:I9"/>
    <mergeCell ref="D10:I10"/>
    <mergeCell ref="D11:I11"/>
    <mergeCell ref="D12:I12"/>
    <mergeCell ref="A160:C160"/>
    <mergeCell ref="A155:A157"/>
    <mergeCell ref="A119:A152"/>
    <mergeCell ref="D13:I13"/>
    <mergeCell ref="D14:I14"/>
    <mergeCell ref="A17:A47"/>
    <mergeCell ref="A49:A54"/>
    <mergeCell ref="A56:A109"/>
    <mergeCell ref="A111:A117"/>
  </mergeCells>
  <hyperlinks>
    <hyperlink ref="D13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9"/>
  <sheetViews>
    <sheetView workbookViewId="0">
      <pane xSplit="1" topLeftCell="AH1" activePane="topRight" state="frozen"/>
      <selection activeCell="A7" sqref="A7"/>
      <selection pane="topRight" activeCell="L77" sqref="L77"/>
    </sheetView>
  </sheetViews>
  <sheetFormatPr baseColWidth="10" defaultRowHeight="11.25" x14ac:dyDescent="0.2"/>
  <cols>
    <col min="1" max="1" width="7.42578125" style="173" customWidth="1"/>
    <col min="2" max="2" width="9.85546875" style="173" customWidth="1"/>
    <col min="3" max="3" width="6.5703125" style="173" customWidth="1"/>
    <col min="4" max="5" width="10.5703125" style="173" customWidth="1"/>
    <col min="6" max="6" width="9.5703125" style="173" customWidth="1"/>
    <col min="7" max="7" width="10.140625" style="173" customWidth="1"/>
    <col min="8" max="8" width="6.85546875" style="173" customWidth="1"/>
    <col min="9" max="9" width="6.5703125" style="173" customWidth="1"/>
    <col min="10" max="10" width="6.140625" style="173" customWidth="1"/>
    <col min="11" max="11" width="5.140625" style="173" customWidth="1"/>
    <col min="12" max="12" width="9.7109375" style="173" customWidth="1"/>
    <col min="13" max="13" width="8.85546875" style="173" customWidth="1"/>
    <col min="14" max="14" width="9.42578125" style="173" customWidth="1"/>
    <col min="15" max="15" width="8.42578125" style="173" customWidth="1"/>
    <col min="16" max="16" width="7" style="173" customWidth="1"/>
    <col min="17" max="17" width="11.42578125" style="173"/>
    <col min="18" max="18" width="8.140625" style="173" customWidth="1"/>
    <col min="19" max="19" width="6.5703125" style="173" customWidth="1"/>
    <col min="20" max="20" width="9.85546875" style="173" customWidth="1"/>
    <col min="21" max="21" width="7.5703125" style="173" customWidth="1"/>
    <col min="22" max="22" width="9.28515625" style="173" customWidth="1"/>
    <col min="23" max="23" width="9.5703125" style="173" customWidth="1"/>
    <col min="24" max="24" width="8.85546875" style="173" customWidth="1"/>
    <col min="25" max="26" width="11.42578125" style="173"/>
    <col min="27" max="27" width="6.42578125" style="173" customWidth="1"/>
    <col min="28" max="28" width="12" style="173" customWidth="1"/>
    <col min="29" max="29" width="9.85546875" style="173" customWidth="1"/>
    <col min="30" max="31" width="10.28515625" style="173" customWidth="1"/>
    <col min="32" max="32" width="9.140625" style="173" customWidth="1"/>
    <col min="33" max="34" width="11.42578125" style="173"/>
    <col min="35" max="35" width="8.28515625" style="173" customWidth="1"/>
    <col min="36" max="36" width="11.42578125" style="173"/>
    <col min="37" max="37" width="9.28515625" style="173" customWidth="1"/>
    <col min="38" max="39" width="10.140625" style="173" customWidth="1"/>
    <col min="40" max="40" width="4.5703125" style="173" customWidth="1"/>
    <col min="41" max="42" width="11.42578125" style="173"/>
    <col min="43" max="43" width="6" style="173" customWidth="1"/>
    <col min="44" max="46" width="11.42578125" style="173"/>
    <col min="47" max="47" width="9" style="173" customWidth="1"/>
    <col min="48" max="48" width="7" style="173" customWidth="1"/>
    <col min="49" max="16384" width="11.42578125" style="173"/>
  </cols>
  <sheetData>
    <row r="2" spans="1:51" x14ac:dyDescent="0.2">
      <c r="D2" s="470" t="s">
        <v>316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2"/>
    </row>
    <row r="3" spans="1:51" s="174" customFormat="1" ht="22.5" x14ac:dyDescent="0.25">
      <c r="A3" s="174" t="s">
        <v>4</v>
      </c>
      <c r="C3" s="174" t="s">
        <v>313</v>
      </c>
      <c r="D3" s="174" t="s">
        <v>309</v>
      </c>
      <c r="E3" s="174" t="s">
        <v>238</v>
      </c>
      <c r="F3" s="174" t="s">
        <v>311</v>
      </c>
      <c r="G3" s="174" t="s">
        <v>310</v>
      </c>
      <c r="H3" s="174" t="s">
        <v>312</v>
      </c>
      <c r="K3" s="174" t="s">
        <v>313</v>
      </c>
      <c r="L3" s="174" t="s">
        <v>309</v>
      </c>
      <c r="M3" s="174" t="s">
        <v>238</v>
      </c>
      <c r="N3" s="174" t="s">
        <v>311</v>
      </c>
      <c r="O3" s="174" t="s">
        <v>310</v>
      </c>
      <c r="P3" s="174" t="s">
        <v>312</v>
      </c>
      <c r="S3" s="174" t="s">
        <v>313</v>
      </c>
      <c r="T3" s="174" t="s">
        <v>309</v>
      </c>
      <c r="U3" s="174" t="s">
        <v>238</v>
      </c>
      <c r="V3" s="174" t="s">
        <v>311</v>
      </c>
      <c r="W3" s="174" t="s">
        <v>310</v>
      </c>
      <c r="X3" s="174" t="s">
        <v>312</v>
      </c>
      <c r="AA3" s="174" t="s">
        <v>313</v>
      </c>
      <c r="AB3" s="174" t="s">
        <v>309</v>
      </c>
      <c r="AC3" s="174" t="s">
        <v>238</v>
      </c>
      <c r="AD3" s="174" t="s">
        <v>311</v>
      </c>
      <c r="AE3" s="174" t="s">
        <v>310</v>
      </c>
      <c r="AF3" s="174" t="s">
        <v>312</v>
      </c>
      <c r="AI3" s="174" t="s">
        <v>313</v>
      </c>
      <c r="AJ3" s="174" t="s">
        <v>309</v>
      </c>
      <c r="AK3" s="174" t="s">
        <v>238</v>
      </c>
      <c r="AL3" s="174" t="s">
        <v>311</v>
      </c>
      <c r="AM3" s="174" t="s">
        <v>310</v>
      </c>
      <c r="AN3" s="174" t="s">
        <v>312</v>
      </c>
      <c r="AQ3" s="174" t="s">
        <v>313</v>
      </c>
      <c r="AR3" s="174" t="s">
        <v>309</v>
      </c>
      <c r="AS3" s="174" t="s">
        <v>238</v>
      </c>
      <c r="AT3" s="174" t="s">
        <v>310</v>
      </c>
      <c r="AU3" s="174" t="s">
        <v>311</v>
      </c>
      <c r="AV3" s="174" t="s">
        <v>312</v>
      </c>
    </row>
    <row r="4" spans="1:51" ht="11.25" customHeight="1" x14ac:dyDescent="0.2">
      <c r="A4" s="467" t="s">
        <v>39</v>
      </c>
      <c r="B4" s="173" t="s">
        <v>302</v>
      </c>
      <c r="C4" s="173">
        <v>17674</v>
      </c>
      <c r="D4" s="175">
        <v>344126</v>
      </c>
      <c r="E4" s="175">
        <v>10936</v>
      </c>
      <c r="F4" s="175">
        <v>4677</v>
      </c>
      <c r="G4" s="175">
        <v>20256</v>
      </c>
      <c r="H4" s="173">
        <v>2619</v>
      </c>
      <c r="I4" s="467" t="s">
        <v>40</v>
      </c>
      <c r="J4" s="173" t="s">
        <v>302</v>
      </c>
      <c r="K4" s="173">
        <v>550</v>
      </c>
      <c r="L4" s="175">
        <v>22578</v>
      </c>
      <c r="M4" s="175">
        <v>1032</v>
      </c>
      <c r="N4" s="175">
        <v>4078</v>
      </c>
      <c r="O4" s="175">
        <v>2168</v>
      </c>
      <c r="P4" s="173">
        <v>86</v>
      </c>
      <c r="Q4" s="467" t="s">
        <v>41</v>
      </c>
      <c r="R4" s="173" t="s">
        <v>302</v>
      </c>
      <c r="S4" s="173">
        <v>13</v>
      </c>
      <c r="T4" s="175">
        <v>596</v>
      </c>
      <c r="U4" s="175">
        <v>30</v>
      </c>
      <c r="V4" s="175">
        <v>110</v>
      </c>
      <c r="W4" s="175">
        <v>60</v>
      </c>
      <c r="X4" s="173">
        <v>2</v>
      </c>
      <c r="Y4" s="467" t="s">
        <v>314</v>
      </c>
      <c r="Z4" s="173" t="s">
        <v>302</v>
      </c>
      <c r="AA4" s="173">
        <v>3315</v>
      </c>
      <c r="AB4" s="175">
        <v>443926</v>
      </c>
      <c r="AC4" s="175">
        <v>14654</v>
      </c>
      <c r="AD4" s="175">
        <v>13584</v>
      </c>
      <c r="AE4" s="175">
        <v>27893</v>
      </c>
      <c r="AF4" s="173">
        <v>459</v>
      </c>
      <c r="AG4" s="467" t="s">
        <v>42</v>
      </c>
      <c r="AH4" s="173" t="s">
        <v>302</v>
      </c>
      <c r="AI4" s="173">
        <v>787</v>
      </c>
      <c r="AJ4" s="175">
        <v>16743</v>
      </c>
      <c r="AK4" s="175">
        <v>732</v>
      </c>
      <c r="AL4" s="175">
        <v>2915</v>
      </c>
      <c r="AM4" s="175">
        <v>1612</v>
      </c>
      <c r="AN4" s="173">
        <v>105</v>
      </c>
      <c r="AO4" s="467" t="s">
        <v>315</v>
      </c>
      <c r="AP4" s="173" t="s">
        <v>302</v>
      </c>
      <c r="AQ4" s="173">
        <v>93</v>
      </c>
      <c r="AR4" s="175">
        <v>4724</v>
      </c>
      <c r="AS4" s="175">
        <v>209</v>
      </c>
      <c r="AT4" s="175">
        <v>857</v>
      </c>
      <c r="AU4" s="175">
        <v>417</v>
      </c>
      <c r="AV4" s="173">
        <v>32</v>
      </c>
      <c r="AW4" s="173">
        <f>+H4+P4+X4+AF4+AN4+AV4</f>
        <v>3303</v>
      </c>
      <c r="AX4" s="173">
        <v>5517</v>
      </c>
      <c r="AY4" s="310">
        <f>+AW4/AX4</f>
        <v>0.59869494290375203</v>
      </c>
    </row>
    <row r="5" spans="1:51" x14ac:dyDescent="0.2">
      <c r="A5" s="468"/>
      <c r="B5" s="173" t="s">
        <v>303</v>
      </c>
      <c r="C5" s="173">
        <v>5839</v>
      </c>
      <c r="D5" s="175">
        <v>63704</v>
      </c>
      <c r="E5" s="175">
        <v>1962</v>
      </c>
      <c r="F5" s="175">
        <v>929</v>
      </c>
      <c r="G5" s="175">
        <v>3860</v>
      </c>
      <c r="H5" s="173">
        <v>335</v>
      </c>
      <c r="I5" s="468"/>
      <c r="J5" s="173" t="s">
        <v>303</v>
      </c>
      <c r="K5" s="173">
        <v>191</v>
      </c>
      <c r="L5" s="175">
        <v>2388</v>
      </c>
      <c r="M5" s="175">
        <v>110</v>
      </c>
      <c r="N5" s="175">
        <v>435</v>
      </c>
      <c r="O5" s="175">
        <v>221</v>
      </c>
      <c r="P5" s="173">
        <v>17</v>
      </c>
      <c r="Q5" s="468"/>
      <c r="R5" s="173" t="s">
        <v>303</v>
      </c>
      <c r="S5" s="173">
        <v>0</v>
      </c>
      <c r="T5" s="175">
        <v>0</v>
      </c>
      <c r="U5" s="175">
        <v>0</v>
      </c>
      <c r="V5" s="175">
        <v>0</v>
      </c>
      <c r="W5" s="175">
        <v>0</v>
      </c>
      <c r="X5" s="173">
        <v>0</v>
      </c>
      <c r="Y5" s="468"/>
      <c r="Z5" s="173" t="s">
        <v>303</v>
      </c>
      <c r="AA5" s="173">
        <v>1072</v>
      </c>
      <c r="AB5" s="175">
        <v>8555</v>
      </c>
      <c r="AC5" s="175">
        <v>337</v>
      </c>
      <c r="AD5" s="175">
        <v>156</v>
      </c>
      <c r="AE5" s="175">
        <v>671</v>
      </c>
      <c r="AF5" s="173">
        <v>62</v>
      </c>
      <c r="AG5" s="468"/>
      <c r="AH5" s="173" t="s">
        <v>303</v>
      </c>
      <c r="AI5" s="173">
        <v>591</v>
      </c>
      <c r="AJ5" s="175">
        <v>6522</v>
      </c>
      <c r="AK5" s="175">
        <v>314</v>
      </c>
      <c r="AL5" s="175">
        <v>1186</v>
      </c>
      <c r="AM5" s="175">
        <v>650</v>
      </c>
      <c r="AN5" s="173">
        <v>34</v>
      </c>
      <c r="AO5" s="468"/>
      <c r="AP5" s="173" t="s">
        <v>303</v>
      </c>
      <c r="AQ5" s="173">
        <v>70</v>
      </c>
      <c r="AR5" s="175">
        <v>523</v>
      </c>
      <c r="AS5" s="175">
        <v>18</v>
      </c>
      <c r="AT5" s="175">
        <v>93</v>
      </c>
      <c r="AU5" s="175">
        <v>36</v>
      </c>
      <c r="AV5" s="173">
        <v>4</v>
      </c>
      <c r="AW5" s="173">
        <f t="shared" ref="AW5:AW10" si="0">+H5+P5+X5+AF5+AN5+AV5</f>
        <v>452</v>
      </c>
      <c r="AX5" s="173">
        <v>5517</v>
      </c>
      <c r="AY5" s="310">
        <f t="shared" ref="AY5:AY10" si="1">+AW5/AX5</f>
        <v>8.1928584375566438E-2</v>
      </c>
    </row>
    <row r="6" spans="1:51" x14ac:dyDescent="0.2">
      <c r="A6" s="468"/>
      <c r="B6" s="173" t="s">
        <v>304</v>
      </c>
      <c r="C6" s="173">
        <v>4822</v>
      </c>
      <c r="D6" s="175">
        <v>50333</v>
      </c>
      <c r="E6" s="175">
        <v>1576</v>
      </c>
      <c r="F6" s="175">
        <v>724</v>
      </c>
      <c r="G6" s="175">
        <v>3091</v>
      </c>
      <c r="H6" s="173">
        <v>212</v>
      </c>
      <c r="I6" s="468"/>
      <c r="J6" s="173" t="s">
        <v>304</v>
      </c>
      <c r="K6" s="173">
        <v>23</v>
      </c>
      <c r="L6" s="175">
        <v>329</v>
      </c>
      <c r="M6" s="175">
        <v>16</v>
      </c>
      <c r="N6" s="175">
        <v>60</v>
      </c>
      <c r="O6" s="175">
        <v>33</v>
      </c>
      <c r="P6" s="173">
        <v>1</v>
      </c>
      <c r="Q6" s="468"/>
      <c r="R6" s="173" t="s">
        <v>304</v>
      </c>
      <c r="S6" s="173">
        <v>0</v>
      </c>
      <c r="T6" s="175">
        <v>0</v>
      </c>
      <c r="U6" s="175">
        <v>0</v>
      </c>
      <c r="V6" s="175">
        <v>0</v>
      </c>
      <c r="W6" s="175">
        <v>0</v>
      </c>
      <c r="X6" s="173">
        <v>0</v>
      </c>
      <c r="Y6" s="468"/>
      <c r="Z6" s="173" t="s">
        <v>304</v>
      </c>
      <c r="AA6" s="173">
        <v>1208</v>
      </c>
      <c r="AB6" s="175">
        <v>9486</v>
      </c>
      <c r="AC6" s="175">
        <v>308</v>
      </c>
      <c r="AD6" s="175">
        <v>140</v>
      </c>
      <c r="AE6" s="175">
        <v>615</v>
      </c>
      <c r="AF6" s="173">
        <v>53</v>
      </c>
      <c r="AG6" s="468"/>
      <c r="AH6" s="173" t="s">
        <v>304</v>
      </c>
      <c r="AI6" s="173">
        <v>428</v>
      </c>
      <c r="AJ6" s="175">
        <v>4918</v>
      </c>
      <c r="AK6" s="175">
        <v>230</v>
      </c>
      <c r="AL6" s="175">
        <v>893</v>
      </c>
      <c r="AM6" s="175">
        <v>472</v>
      </c>
      <c r="AN6" s="173">
        <v>19</v>
      </c>
      <c r="AO6" s="468"/>
      <c r="AP6" s="173" t="s">
        <v>304</v>
      </c>
      <c r="AQ6" s="173">
        <v>23</v>
      </c>
      <c r="AR6" s="175">
        <v>252</v>
      </c>
      <c r="AS6" s="175">
        <v>13</v>
      </c>
      <c r="AT6" s="175">
        <v>46</v>
      </c>
      <c r="AU6" s="175">
        <v>25</v>
      </c>
      <c r="AV6" s="173">
        <v>1</v>
      </c>
      <c r="AW6" s="173">
        <f t="shared" si="0"/>
        <v>286</v>
      </c>
      <c r="AX6" s="173">
        <v>5517</v>
      </c>
      <c r="AY6" s="310">
        <f t="shared" si="1"/>
        <v>5.1839767989849558E-2</v>
      </c>
    </row>
    <row r="7" spans="1:51" x14ac:dyDescent="0.2">
      <c r="A7" s="468"/>
      <c r="B7" s="173" t="s">
        <v>305</v>
      </c>
      <c r="C7" s="173">
        <v>10037</v>
      </c>
      <c r="D7" s="175">
        <v>82687</v>
      </c>
      <c r="E7" s="175">
        <v>3290</v>
      </c>
      <c r="F7" s="175">
        <v>1515</v>
      </c>
      <c r="G7" s="175">
        <v>6384</v>
      </c>
      <c r="H7" s="173">
        <v>323</v>
      </c>
      <c r="I7" s="468"/>
      <c r="J7" s="173" t="s">
        <v>305</v>
      </c>
      <c r="K7" s="173">
        <v>390</v>
      </c>
      <c r="L7" s="175">
        <v>4217</v>
      </c>
      <c r="M7" s="175">
        <v>211</v>
      </c>
      <c r="N7" s="175">
        <v>776</v>
      </c>
      <c r="O7" s="175">
        <v>423</v>
      </c>
      <c r="P7" s="173">
        <v>12</v>
      </c>
      <c r="Q7" s="468"/>
      <c r="R7" s="173" t="s">
        <v>305</v>
      </c>
      <c r="S7" s="173">
        <v>65</v>
      </c>
      <c r="T7" s="175">
        <v>1339</v>
      </c>
      <c r="U7" s="175">
        <v>28</v>
      </c>
      <c r="V7" s="175">
        <v>227</v>
      </c>
      <c r="W7" s="175">
        <v>57</v>
      </c>
      <c r="X7" s="173">
        <v>2</v>
      </c>
      <c r="Y7" s="468"/>
      <c r="Z7" s="173" t="s">
        <v>305</v>
      </c>
      <c r="AA7" s="173">
        <v>1714</v>
      </c>
      <c r="AB7" s="9">
        <v>13356</v>
      </c>
      <c r="AC7" s="9">
        <v>528</v>
      </c>
      <c r="AD7" s="9">
        <v>248</v>
      </c>
      <c r="AE7" s="9">
        <v>1052</v>
      </c>
      <c r="AF7" s="173">
        <v>55</v>
      </c>
      <c r="AG7" s="468"/>
      <c r="AH7" s="173" t="s">
        <v>305</v>
      </c>
      <c r="AI7" s="173">
        <v>917</v>
      </c>
      <c r="AJ7" s="175">
        <v>10155</v>
      </c>
      <c r="AK7" s="175">
        <v>492</v>
      </c>
      <c r="AL7" s="175">
        <v>1858</v>
      </c>
      <c r="AM7" s="175">
        <v>995</v>
      </c>
      <c r="AN7" s="173">
        <v>29</v>
      </c>
      <c r="AO7" s="468"/>
      <c r="AP7" s="173" t="s">
        <v>305</v>
      </c>
      <c r="AQ7" s="173">
        <v>191</v>
      </c>
      <c r="AR7" s="175">
        <v>2041</v>
      </c>
      <c r="AS7" s="175">
        <v>103</v>
      </c>
      <c r="AT7" s="175">
        <v>376</v>
      </c>
      <c r="AU7" s="175">
        <v>204</v>
      </c>
      <c r="AV7" s="173">
        <v>6</v>
      </c>
      <c r="AW7" s="173">
        <f t="shared" si="0"/>
        <v>427</v>
      </c>
      <c r="AX7" s="173">
        <v>5517</v>
      </c>
      <c r="AY7" s="310">
        <f t="shared" si="1"/>
        <v>7.739713612470546E-2</v>
      </c>
    </row>
    <row r="8" spans="1:51" x14ac:dyDescent="0.2">
      <c r="A8" s="468"/>
      <c r="B8" s="173" t="s">
        <v>306</v>
      </c>
      <c r="C8" s="173">
        <v>2812</v>
      </c>
      <c r="D8" s="175">
        <v>24665</v>
      </c>
      <c r="E8" s="175">
        <v>828</v>
      </c>
      <c r="F8" s="175">
        <v>387</v>
      </c>
      <c r="G8" s="175">
        <v>1647</v>
      </c>
      <c r="H8" s="173">
        <v>62</v>
      </c>
      <c r="I8" s="468"/>
      <c r="J8" s="173" t="s">
        <v>306</v>
      </c>
      <c r="K8" s="173">
        <v>230</v>
      </c>
      <c r="L8" s="175">
        <v>2517</v>
      </c>
      <c r="M8" s="175">
        <v>101</v>
      </c>
      <c r="N8" s="175">
        <v>452</v>
      </c>
      <c r="O8" s="175">
        <v>203</v>
      </c>
      <c r="P8" s="173">
        <v>5</v>
      </c>
      <c r="Q8" s="468"/>
      <c r="R8" s="173" t="s">
        <v>306</v>
      </c>
      <c r="S8" s="173">
        <v>0</v>
      </c>
      <c r="T8" s="175">
        <v>0</v>
      </c>
      <c r="U8" s="175">
        <v>0</v>
      </c>
      <c r="V8" s="175">
        <v>0</v>
      </c>
      <c r="W8" s="175">
        <v>0</v>
      </c>
      <c r="X8" s="173">
        <v>0</v>
      </c>
      <c r="Y8" s="468"/>
      <c r="Z8" s="173" t="s">
        <v>306</v>
      </c>
      <c r="AA8" s="173">
        <v>589</v>
      </c>
      <c r="AB8" s="175">
        <v>4934</v>
      </c>
      <c r="AC8" s="175">
        <v>177</v>
      </c>
      <c r="AD8" s="175">
        <v>83</v>
      </c>
      <c r="AE8" s="175">
        <v>355</v>
      </c>
      <c r="AF8" s="173">
        <v>13</v>
      </c>
      <c r="AG8" s="468"/>
      <c r="AH8" s="173" t="s">
        <v>306</v>
      </c>
      <c r="AI8" s="173">
        <v>228</v>
      </c>
      <c r="AJ8" s="175">
        <v>2458</v>
      </c>
      <c r="AK8" s="175">
        <v>125</v>
      </c>
      <c r="AL8" s="175">
        <v>450</v>
      </c>
      <c r="AM8" s="175">
        <v>246</v>
      </c>
      <c r="AN8" s="173">
        <v>5</v>
      </c>
      <c r="AO8" s="468"/>
      <c r="AP8" s="173" t="s">
        <v>306</v>
      </c>
      <c r="AQ8" s="173">
        <v>43</v>
      </c>
      <c r="AR8" s="175">
        <v>163</v>
      </c>
      <c r="AS8" s="175">
        <v>8</v>
      </c>
      <c r="AT8" s="175">
        <v>30</v>
      </c>
      <c r="AU8" s="175">
        <v>16</v>
      </c>
      <c r="AV8" s="173">
        <v>1</v>
      </c>
      <c r="AW8" s="173">
        <f t="shared" si="0"/>
        <v>86</v>
      </c>
      <c r="AX8" s="173">
        <v>5517</v>
      </c>
      <c r="AY8" s="310">
        <f t="shared" si="1"/>
        <v>1.5588181982961755E-2</v>
      </c>
    </row>
    <row r="9" spans="1:51" x14ac:dyDescent="0.2">
      <c r="A9" s="468"/>
      <c r="B9" s="173" t="s">
        <v>307</v>
      </c>
      <c r="C9" s="173">
        <v>1422</v>
      </c>
      <c r="D9" s="175">
        <v>13901</v>
      </c>
      <c r="E9" s="175">
        <v>391</v>
      </c>
      <c r="F9" s="175">
        <v>188</v>
      </c>
      <c r="G9" s="175">
        <v>781</v>
      </c>
      <c r="H9" s="173">
        <v>26</v>
      </c>
      <c r="I9" s="468"/>
      <c r="J9" s="173" t="s">
        <v>307</v>
      </c>
      <c r="K9" s="173">
        <v>108</v>
      </c>
      <c r="L9" s="175">
        <v>1290</v>
      </c>
      <c r="M9" s="175">
        <v>64</v>
      </c>
      <c r="N9" s="175">
        <v>237</v>
      </c>
      <c r="O9" s="175">
        <v>130</v>
      </c>
      <c r="P9" s="173">
        <v>2</v>
      </c>
      <c r="Q9" s="468"/>
      <c r="R9" s="173" t="s">
        <v>307</v>
      </c>
      <c r="S9" s="173">
        <v>158</v>
      </c>
      <c r="T9" s="175">
        <v>3717</v>
      </c>
      <c r="U9" s="175">
        <v>186</v>
      </c>
      <c r="V9" s="175">
        <v>684</v>
      </c>
      <c r="W9" s="175">
        <v>372</v>
      </c>
      <c r="X9" s="173">
        <v>3</v>
      </c>
      <c r="Y9" s="468"/>
      <c r="Z9" s="173" t="s">
        <v>307</v>
      </c>
      <c r="AA9" s="173">
        <v>113</v>
      </c>
      <c r="AB9" s="175">
        <v>881</v>
      </c>
      <c r="AC9" s="175">
        <v>43</v>
      </c>
      <c r="AD9" s="175">
        <v>20</v>
      </c>
      <c r="AE9" s="175">
        <v>89</v>
      </c>
      <c r="AF9" s="173">
        <v>2</v>
      </c>
      <c r="AG9" s="468"/>
      <c r="AH9" s="173" t="s">
        <v>307</v>
      </c>
      <c r="AI9" s="173">
        <v>104</v>
      </c>
      <c r="AJ9" s="175">
        <v>1161</v>
      </c>
      <c r="AK9" s="175">
        <v>59</v>
      </c>
      <c r="AL9" s="175">
        <v>214</v>
      </c>
      <c r="AM9" s="175">
        <v>116</v>
      </c>
      <c r="AN9" s="173">
        <v>2</v>
      </c>
      <c r="AO9" s="468"/>
      <c r="AP9" s="173" t="s">
        <v>307</v>
      </c>
      <c r="AQ9" s="173">
        <v>164</v>
      </c>
      <c r="AR9" s="175">
        <v>1085</v>
      </c>
      <c r="AS9" s="175">
        <v>55</v>
      </c>
      <c r="AT9" s="175">
        <v>200</v>
      </c>
      <c r="AU9" s="175">
        <v>110</v>
      </c>
      <c r="AV9" s="173">
        <v>3</v>
      </c>
      <c r="AW9" s="173">
        <f t="shared" si="0"/>
        <v>38</v>
      </c>
      <c r="AX9" s="173">
        <v>5517</v>
      </c>
      <c r="AY9" s="310">
        <f t="shared" si="1"/>
        <v>6.8878013413086825E-3</v>
      </c>
    </row>
    <row r="10" spans="1:51" x14ac:dyDescent="0.2">
      <c r="A10" s="469"/>
      <c r="B10" s="173" t="s">
        <v>308</v>
      </c>
      <c r="C10" s="173">
        <v>42809</v>
      </c>
      <c r="D10" s="175">
        <v>297959</v>
      </c>
      <c r="E10" s="175">
        <v>16530</v>
      </c>
      <c r="F10" s="175">
        <v>7085</v>
      </c>
      <c r="G10" s="175">
        <v>33060</v>
      </c>
      <c r="H10" s="173">
        <v>251</v>
      </c>
      <c r="I10" s="469"/>
      <c r="J10" s="173" t="s">
        <v>308</v>
      </c>
      <c r="K10" s="173">
        <v>2643</v>
      </c>
      <c r="L10" s="175">
        <v>29533</v>
      </c>
      <c r="M10" s="175">
        <v>1450</v>
      </c>
      <c r="N10" s="175">
        <v>5411</v>
      </c>
      <c r="O10" s="175">
        <v>2857</v>
      </c>
      <c r="P10" s="173">
        <v>17</v>
      </c>
      <c r="Q10" s="469"/>
      <c r="R10" s="173" t="s">
        <v>308</v>
      </c>
      <c r="S10" s="173">
        <v>436</v>
      </c>
      <c r="T10" s="175">
        <v>10692</v>
      </c>
      <c r="U10" s="175">
        <v>322</v>
      </c>
      <c r="V10" s="175">
        <v>1865</v>
      </c>
      <c r="W10" s="175">
        <v>645</v>
      </c>
      <c r="X10" s="173">
        <v>5</v>
      </c>
      <c r="Y10" s="469"/>
      <c r="Z10" s="173" t="s">
        <v>308</v>
      </c>
      <c r="AA10" s="173">
        <v>13222</v>
      </c>
      <c r="AB10" s="175">
        <v>93504</v>
      </c>
      <c r="AC10" s="175">
        <v>3833</v>
      </c>
      <c r="AD10" s="175">
        <v>2286</v>
      </c>
      <c r="AE10" s="175">
        <v>8413</v>
      </c>
      <c r="AF10" s="173">
        <v>78</v>
      </c>
      <c r="AG10" s="469"/>
      <c r="AH10" s="173" t="s">
        <v>308</v>
      </c>
      <c r="AI10" s="173">
        <v>1778</v>
      </c>
      <c r="AJ10" s="175">
        <v>19183</v>
      </c>
      <c r="AK10" s="175">
        <v>829</v>
      </c>
      <c r="AL10" s="175">
        <v>3464</v>
      </c>
      <c r="AM10" s="175">
        <v>1652</v>
      </c>
      <c r="AN10" s="173">
        <v>13</v>
      </c>
      <c r="AO10" s="469"/>
      <c r="AP10" s="173" t="s">
        <v>308</v>
      </c>
      <c r="AQ10" s="173">
        <v>687</v>
      </c>
      <c r="AR10" s="175">
        <v>4852</v>
      </c>
      <c r="AS10" s="175">
        <v>287</v>
      </c>
      <c r="AT10" s="175">
        <v>915</v>
      </c>
      <c r="AU10" s="175">
        <v>576</v>
      </c>
      <c r="AV10" s="173">
        <v>6</v>
      </c>
      <c r="AW10" s="173">
        <f t="shared" si="0"/>
        <v>370</v>
      </c>
      <c r="AX10" s="173">
        <v>5517</v>
      </c>
      <c r="AY10" s="310">
        <f t="shared" si="1"/>
        <v>6.7065434112742434E-2</v>
      </c>
    </row>
    <row r="11" spans="1:51" x14ac:dyDescent="0.2">
      <c r="C11" s="173">
        <f t="shared" ref="C11:H11" si="2">SUM(C4:C10)</f>
        <v>85415</v>
      </c>
      <c r="D11" s="176">
        <f t="shared" si="2"/>
        <v>877375</v>
      </c>
      <c r="E11" s="176">
        <f t="shared" si="2"/>
        <v>35513</v>
      </c>
      <c r="F11" s="176">
        <f t="shared" si="2"/>
        <v>15505</v>
      </c>
      <c r="G11" s="176">
        <f t="shared" si="2"/>
        <v>69079</v>
      </c>
      <c r="H11" s="173">
        <f t="shared" si="2"/>
        <v>3828</v>
      </c>
      <c r="K11" s="173">
        <f t="shared" ref="K11:P11" si="3">SUM(K4:K10)</f>
        <v>4135</v>
      </c>
      <c r="L11" s="176">
        <f t="shared" si="3"/>
        <v>62852</v>
      </c>
      <c r="M11" s="176">
        <f t="shared" si="3"/>
        <v>2984</v>
      </c>
      <c r="N11" s="176">
        <f t="shared" si="3"/>
        <v>11449</v>
      </c>
      <c r="O11" s="176">
        <f t="shared" si="3"/>
        <v>6035</v>
      </c>
      <c r="P11" s="173">
        <f t="shared" si="3"/>
        <v>140</v>
      </c>
      <c r="S11" s="173">
        <f t="shared" ref="S11:X11" si="4">SUM(S4:S10)</f>
        <v>672</v>
      </c>
      <c r="T11" s="176">
        <f t="shared" si="4"/>
        <v>16344</v>
      </c>
      <c r="U11" s="176">
        <f t="shared" si="4"/>
        <v>566</v>
      </c>
      <c r="V11" s="176">
        <f t="shared" si="4"/>
        <v>2886</v>
      </c>
      <c r="W11" s="176">
        <f t="shared" si="4"/>
        <v>1134</v>
      </c>
      <c r="X11" s="173">
        <f t="shared" si="4"/>
        <v>12</v>
      </c>
      <c r="AA11" s="173">
        <f t="shared" ref="AA11:AF11" si="5">SUM(AA4:AA10)</f>
        <v>21233</v>
      </c>
      <c r="AB11" s="176">
        <f t="shared" si="5"/>
        <v>574642</v>
      </c>
      <c r="AC11" s="176">
        <f t="shared" si="5"/>
        <v>19880</v>
      </c>
      <c r="AD11" s="176">
        <f t="shared" si="5"/>
        <v>16517</v>
      </c>
      <c r="AE11" s="176">
        <f t="shared" si="5"/>
        <v>39088</v>
      </c>
      <c r="AF11" s="173">
        <f t="shared" si="5"/>
        <v>722</v>
      </c>
      <c r="AI11" s="173">
        <f t="shared" ref="AI11:AN11" si="6">SUM(AI4:AI10)</f>
        <v>4833</v>
      </c>
      <c r="AJ11" s="176">
        <f t="shared" si="6"/>
        <v>61140</v>
      </c>
      <c r="AK11" s="176">
        <f t="shared" si="6"/>
        <v>2781</v>
      </c>
      <c r="AL11" s="176">
        <f t="shared" si="6"/>
        <v>10980</v>
      </c>
      <c r="AM11" s="176">
        <f t="shared" si="6"/>
        <v>5743</v>
      </c>
      <c r="AN11" s="173">
        <f t="shared" si="6"/>
        <v>207</v>
      </c>
      <c r="AQ11" s="173">
        <f t="shared" ref="AQ11:AV11" si="7">SUM(AQ4:AQ10)</f>
        <v>1271</v>
      </c>
      <c r="AR11" s="176">
        <f t="shared" si="7"/>
        <v>13640</v>
      </c>
      <c r="AS11" s="176">
        <f t="shared" si="7"/>
        <v>693</v>
      </c>
      <c r="AT11" s="176">
        <f t="shared" si="7"/>
        <v>2517</v>
      </c>
      <c r="AU11" s="176">
        <f t="shared" si="7"/>
        <v>1384</v>
      </c>
      <c r="AV11" s="173">
        <f t="shared" si="7"/>
        <v>53</v>
      </c>
      <c r="AW11" s="173">
        <f>SUM(AW4:AW10)</f>
        <v>4962</v>
      </c>
      <c r="AY11" s="311">
        <f>SUM(AY4:AY10)</f>
        <v>0.89940184883088636</v>
      </c>
    </row>
    <row r="12" spans="1:51" x14ac:dyDescent="0.2">
      <c r="H12" s="173">
        <f>+H4+P4+X4+AF4+AN4+AV4</f>
        <v>3303</v>
      </c>
    </row>
    <row r="14" spans="1:51" ht="22.5" x14ac:dyDescent="0.2">
      <c r="A14" s="174" t="s">
        <v>5</v>
      </c>
      <c r="B14" s="174"/>
      <c r="C14" s="174" t="s">
        <v>313</v>
      </c>
      <c r="D14" s="174" t="s">
        <v>309</v>
      </c>
      <c r="E14" s="174" t="s">
        <v>238</v>
      </c>
      <c r="F14" s="174" t="s">
        <v>311</v>
      </c>
      <c r="G14" s="174" t="s">
        <v>310</v>
      </c>
      <c r="H14" s="174" t="s">
        <v>312</v>
      </c>
      <c r="I14" s="174"/>
      <c r="J14" s="174"/>
      <c r="K14" s="174" t="s">
        <v>313</v>
      </c>
      <c r="L14" s="174" t="s">
        <v>309</v>
      </c>
      <c r="M14" s="174" t="s">
        <v>238</v>
      </c>
      <c r="N14" s="174" t="s">
        <v>311</v>
      </c>
      <c r="O14" s="174" t="s">
        <v>310</v>
      </c>
      <c r="P14" s="174" t="s">
        <v>312</v>
      </c>
      <c r="Q14" s="174"/>
      <c r="R14" s="174"/>
      <c r="S14" s="174" t="s">
        <v>313</v>
      </c>
      <c r="T14" s="174" t="s">
        <v>309</v>
      </c>
      <c r="U14" s="174" t="s">
        <v>238</v>
      </c>
      <c r="V14" s="174" t="s">
        <v>311</v>
      </c>
      <c r="W14" s="174" t="s">
        <v>310</v>
      </c>
      <c r="X14" s="174" t="s">
        <v>312</v>
      </c>
      <c r="Y14" s="174"/>
      <c r="Z14" s="174"/>
      <c r="AA14" s="174" t="s">
        <v>313</v>
      </c>
      <c r="AB14" s="174" t="s">
        <v>309</v>
      </c>
      <c r="AC14" s="174" t="s">
        <v>238</v>
      </c>
      <c r="AD14" s="174" t="s">
        <v>311</v>
      </c>
      <c r="AE14" s="174" t="s">
        <v>310</v>
      </c>
      <c r="AF14" s="174" t="s">
        <v>312</v>
      </c>
      <c r="AG14" s="174"/>
      <c r="AH14" s="174"/>
      <c r="AI14" s="174" t="s">
        <v>313</v>
      </c>
      <c r="AJ14" s="174" t="s">
        <v>309</v>
      </c>
      <c r="AK14" s="174" t="s">
        <v>238</v>
      </c>
      <c r="AL14" s="174" t="s">
        <v>311</v>
      </c>
      <c r="AM14" s="174" t="s">
        <v>310</v>
      </c>
      <c r="AN14" s="174" t="s">
        <v>312</v>
      </c>
      <c r="AO14" s="174"/>
      <c r="AP14" s="174"/>
      <c r="AQ14" s="174" t="s">
        <v>313</v>
      </c>
      <c r="AR14" s="174" t="s">
        <v>309</v>
      </c>
      <c r="AS14" s="174" t="s">
        <v>238</v>
      </c>
      <c r="AT14" s="174" t="s">
        <v>310</v>
      </c>
      <c r="AU14" s="174" t="s">
        <v>311</v>
      </c>
      <c r="AV14" s="174" t="s">
        <v>312</v>
      </c>
    </row>
    <row r="15" spans="1:51" x14ac:dyDescent="0.2">
      <c r="A15" s="467" t="s">
        <v>39</v>
      </c>
      <c r="B15" s="173" t="s">
        <v>302</v>
      </c>
      <c r="C15" s="173">
        <v>15351</v>
      </c>
      <c r="D15" s="175">
        <v>302832</v>
      </c>
      <c r="E15" s="175">
        <v>9437</v>
      </c>
      <c r="F15" s="175">
        <v>4030</v>
      </c>
      <c r="G15" s="175">
        <v>18553</v>
      </c>
      <c r="H15" s="173">
        <v>2361</v>
      </c>
      <c r="I15" s="467" t="s">
        <v>40</v>
      </c>
      <c r="J15" s="173" t="s">
        <v>302</v>
      </c>
      <c r="K15" s="173">
        <v>555</v>
      </c>
      <c r="L15" s="175">
        <v>23156</v>
      </c>
      <c r="M15" s="175">
        <v>1152</v>
      </c>
      <c r="N15" s="175">
        <v>4229</v>
      </c>
      <c r="O15" s="175">
        <v>2219</v>
      </c>
      <c r="P15" s="173">
        <v>124</v>
      </c>
      <c r="Q15" s="467" t="s">
        <v>41</v>
      </c>
      <c r="R15" s="173" t="s">
        <v>302</v>
      </c>
      <c r="S15" s="173">
        <v>14</v>
      </c>
      <c r="T15" s="175">
        <v>908</v>
      </c>
      <c r="U15" s="175">
        <v>46</v>
      </c>
      <c r="V15" s="175">
        <v>167</v>
      </c>
      <c r="W15" s="175">
        <v>91</v>
      </c>
      <c r="X15" s="173">
        <v>2</v>
      </c>
      <c r="Y15" s="467" t="s">
        <v>314</v>
      </c>
      <c r="Z15" s="173" t="s">
        <v>302</v>
      </c>
      <c r="AA15" s="173">
        <v>2997</v>
      </c>
      <c r="AB15" s="9">
        <v>44032</v>
      </c>
      <c r="AC15" s="9">
        <v>1540</v>
      </c>
      <c r="AD15" s="9">
        <v>908.76</v>
      </c>
      <c r="AE15" s="9">
        <v>3347</v>
      </c>
      <c r="AF15" s="173">
        <v>410</v>
      </c>
      <c r="AG15" s="467" t="s">
        <v>42</v>
      </c>
      <c r="AH15" s="173" t="s">
        <v>302</v>
      </c>
      <c r="AI15" s="173">
        <v>748</v>
      </c>
      <c r="AJ15" s="175">
        <v>15162</v>
      </c>
      <c r="AK15" s="175">
        <v>762</v>
      </c>
      <c r="AL15" s="175">
        <v>2752</v>
      </c>
      <c r="AM15" s="175">
        <v>1455</v>
      </c>
      <c r="AN15" s="173">
        <v>101</v>
      </c>
      <c r="AO15" s="467" t="s">
        <v>315</v>
      </c>
      <c r="AP15" s="173" t="s">
        <v>302</v>
      </c>
      <c r="AQ15" s="173">
        <v>87</v>
      </c>
      <c r="AR15" s="175">
        <v>5210</v>
      </c>
      <c r="AS15" s="175">
        <v>232</v>
      </c>
      <c r="AT15" s="175">
        <v>947</v>
      </c>
      <c r="AU15" s="175">
        <v>464</v>
      </c>
      <c r="AV15" s="173">
        <v>31</v>
      </c>
      <c r="AW15" s="173">
        <f>+H15+P15+X15+AF15+AN15+AV15</f>
        <v>3029</v>
      </c>
    </row>
    <row r="16" spans="1:51" x14ac:dyDescent="0.2">
      <c r="A16" s="468"/>
      <c r="B16" s="173" t="s">
        <v>303</v>
      </c>
      <c r="C16" s="173">
        <v>6299</v>
      </c>
      <c r="D16" s="175">
        <v>68046</v>
      </c>
      <c r="E16" s="175">
        <v>2126</v>
      </c>
      <c r="F16" s="175">
        <v>991</v>
      </c>
      <c r="G16" s="175">
        <v>4276</v>
      </c>
      <c r="H16" s="173">
        <v>335</v>
      </c>
      <c r="I16" s="468"/>
      <c r="J16" s="173" t="s">
        <v>303</v>
      </c>
      <c r="K16" s="173">
        <v>162</v>
      </c>
      <c r="L16" s="175">
        <v>1867</v>
      </c>
      <c r="M16" s="175">
        <v>82</v>
      </c>
      <c r="N16" s="175">
        <v>337</v>
      </c>
      <c r="O16" s="175">
        <v>164</v>
      </c>
      <c r="P16" s="173">
        <v>9</v>
      </c>
      <c r="Q16" s="468"/>
      <c r="R16" s="173" t="s">
        <v>303</v>
      </c>
      <c r="S16" s="173">
        <v>0</v>
      </c>
      <c r="T16" s="175">
        <v>0</v>
      </c>
      <c r="U16" s="175">
        <v>0</v>
      </c>
      <c r="V16" s="175">
        <v>0</v>
      </c>
      <c r="W16" s="175"/>
      <c r="X16" s="173">
        <v>0</v>
      </c>
      <c r="Y16" s="468"/>
      <c r="Z16" s="173" t="s">
        <v>303</v>
      </c>
      <c r="AA16" s="173">
        <v>1482</v>
      </c>
      <c r="AB16" s="175">
        <v>11200</v>
      </c>
      <c r="AC16" s="175">
        <v>377</v>
      </c>
      <c r="AD16" s="175">
        <v>227</v>
      </c>
      <c r="AE16" s="175">
        <v>775</v>
      </c>
      <c r="AF16" s="173">
        <v>83</v>
      </c>
      <c r="AG16" s="468"/>
      <c r="AH16" s="173" t="s">
        <v>303</v>
      </c>
      <c r="AI16" s="173">
        <v>764</v>
      </c>
      <c r="AJ16" s="175">
        <v>9052</v>
      </c>
      <c r="AK16" s="175">
        <v>415</v>
      </c>
      <c r="AL16" s="175">
        <v>1655</v>
      </c>
      <c r="AM16" s="175">
        <v>820</v>
      </c>
      <c r="AN16" s="173">
        <v>43</v>
      </c>
      <c r="AO16" s="468"/>
      <c r="AP16" s="173" t="s">
        <v>303</v>
      </c>
      <c r="AQ16" s="173">
        <v>58</v>
      </c>
      <c r="AR16" s="175">
        <v>538</v>
      </c>
      <c r="AS16" s="175">
        <v>27</v>
      </c>
      <c r="AT16" s="175">
        <v>99</v>
      </c>
      <c r="AU16" s="175">
        <v>53</v>
      </c>
      <c r="AV16" s="173">
        <v>3</v>
      </c>
      <c r="AW16" s="173">
        <f t="shared" ref="AW16:AW21" si="8">+H16+P16+X16+AF16+AN16+AV16</f>
        <v>473</v>
      </c>
    </row>
    <row r="17" spans="1:49" x14ac:dyDescent="0.2">
      <c r="A17" s="468"/>
      <c r="B17" s="173" t="s">
        <v>304</v>
      </c>
      <c r="C17" s="173">
        <v>5315</v>
      </c>
      <c r="D17" s="175">
        <v>55613</v>
      </c>
      <c r="E17" s="175">
        <v>1712</v>
      </c>
      <c r="F17" s="175">
        <v>784</v>
      </c>
      <c r="G17" s="175">
        <v>3406</v>
      </c>
      <c r="H17" s="173">
        <v>233</v>
      </c>
      <c r="I17" s="468"/>
      <c r="J17" s="173" t="s">
        <v>304</v>
      </c>
      <c r="K17" s="173">
        <v>70</v>
      </c>
      <c r="L17" s="175">
        <v>874</v>
      </c>
      <c r="M17" s="175">
        <v>27</v>
      </c>
      <c r="N17" s="175">
        <v>153</v>
      </c>
      <c r="O17" s="175">
        <v>54</v>
      </c>
      <c r="P17" s="173">
        <v>3</v>
      </c>
      <c r="Q17" s="468"/>
      <c r="R17" s="173" t="s">
        <v>304</v>
      </c>
      <c r="S17" s="173">
        <v>0</v>
      </c>
      <c r="T17" s="175">
        <v>0</v>
      </c>
      <c r="U17" s="175">
        <v>0</v>
      </c>
      <c r="V17" s="175">
        <v>0</v>
      </c>
      <c r="W17" s="175">
        <v>0</v>
      </c>
      <c r="X17" s="173">
        <v>0</v>
      </c>
      <c r="Y17" s="468"/>
      <c r="Z17" s="173" t="s">
        <v>304</v>
      </c>
      <c r="AA17" s="173">
        <v>959</v>
      </c>
      <c r="AB17" s="175">
        <v>7575</v>
      </c>
      <c r="AC17" s="175">
        <v>324</v>
      </c>
      <c r="AD17" s="175">
        <v>155</v>
      </c>
      <c r="AE17" s="175">
        <v>648</v>
      </c>
      <c r="AF17" s="173">
        <v>42</v>
      </c>
      <c r="AG17" s="468"/>
      <c r="AH17" s="173" t="s">
        <v>304</v>
      </c>
      <c r="AI17" s="173">
        <v>416</v>
      </c>
      <c r="AJ17" s="175">
        <v>4705</v>
      </c>
      <c r="AK17" s="175">
        <v>225</v>
      </c>
      <c r="AL17" s="175">
        <v>857</v>
      </c>
      <c r="AM17" s="175">
        <v>447</v>
      </c>
      <c r="AN17" s="173">
        <v>18</v>
      </c>
      <c r="AO17" s="468"/>
      <c r="AP17" s="173" t="s">
        <v>304</v>
      </c>
      <c r="AQ17" s="173">
        <v>45</v>
      </c>
      <c r="AR17" s="175">
        <v>437</v>
      </c>
      <c r="AS17" s="175">
        <v>14</v>
      </c>
      <c r="AT17" s="175">
        <v>76</v>
      </c>
      <c r="AU17" s="175">
        <v>27</v>
      </c>
      <c r="AV17" s="173">
        <v>2</v>
      </c>
      <c r="AW17" s="173">
        <f t="shared" si="8"/>
        <v>298</v>
      </c>
    </row>
    <row r="18" spans="1:49" x14ac:dyDescent="0.2">
      <c r="A18" s="468"/>
      <c r="B18" s="173" t="s">
        <v>305</v>
      </c>
      <c r="C18" s="173">
        <v>6700</v>
      </c>
      <c r="D18" s="175">
        <v>70108</v>
      </c>
      <c r="E18" s="175">
        <v>1963</v>
      </c>
      <c r="F18" s="175">
        <v>928</v>
      </c>
      <c r="G18" s="175">
        <v>3893</v>
      </c>
      <c r="H18" s="173">
        <v>215</v>
      </c>
      <c r="I18" s="468"/>
      <c r="J18" s="173" t="s">
        <v>305</v>
      </c>
      <c r="K18" s="173">
        <v>323</v>
      </c>
      <c r="L18" s="175">
        <v>3924</v>
      </c>
      <c r="M18" s="175">
        <v>179</v>
      </c>
      <c r="N18" s="175">
        <v>715</v>
      </c>
      <c r="O18" s="175">
        <v>360</v>
      </c>
      <c r="P18" s="173">
        <v>10</v>
      </c>
      <c r="Q18" s="468"/>
      <c r="R18" s="173" t="s">
        <v>305</v>
      </c>
      <c r="S18" s="173">
        <v>0</v>
      </c>
      <c r="T18" s="175">
        <v>0</v>
      </c>
      <c r="U18" s="175">
        <v>0</v>
      </c>
      <c r="V18" s="175">
        <v>0</v>
      </c>
      <c r="W18" s="175">
        <v>0</v>
      </c>
      <c r="X18" s="173">
        <v>0</v>
      </c>
      <c r="Y18" s="468"/>
      <c r="Z18" s="173" t="s">
        <v>305</v>
      </c>
      <c r="AA18" s="173">
        <v>1537</v>
      </c>
      <c r="AB18" s="9">
        <v>12218</v>
      </c>
      <c r="AC18" s="9">
        <v>351</v>
      </c>
      <c r="AD18" s="9">
        <v>166</v>
      </c>
      <c r="AE18" s="9">
        <v>702</v>
      </c>
      <c r="AF18" s="173">
        <v>49</v>
      </c>
      <c r="AG18" s="468"/>
      <c r="AH18" s="173" t="s">
        <v>305</v>
      </c>
      <c r="AI18" s="173">
        <v>696</v>
      </c>
      <c r="AJ18" s="175">
        <v>7385</v>
      </c>
      <c r="AK18" s="175">
        <v>354</v>
      </c>
      <c r="AL18" s="175">
        <v>1351</v>
      </c>
      <c r="AM18" s="175">
        <v>709</v>
      </c>
      <c r="AN18" s="173">
        <v>22</v>
      </c>
      <c r="AO18" s="468"/>
      <c r="AP18" s="173" t="s">
        <v>305</v>
      </c>
      <c r="AQ18" s="173">
        <v>93</v>
      </c>
      <c r="AR18" s="175">
        <v>885</v>
      </c>
      <c r="AS18" s="175">
        <v>44</v>
      </c>
      <c r="AT18" s="175">
        <v>163</v>
      </c>
      <c r="AU18" s="175">
        <v>89</v>
      </c>
      <c r="AV18" s="173">
        <v>3</v>
      </c>
      <c r="AW18" s="173">
        <f t="shared" si="8"/>
        <v>299</v>
      </c>
    </row>
    <row r="19" spans="1:49" x14ac:dyDescent="0.2">
      <c r="A19" s="468"/>
      <c r="B19" s="173" t="s">
        <v>306</v>
      </c>
      <c r="C19" s="173">
        <v>1851</v>
      </c>
      <c r="D19" s="175">
        <v>18338</v>
      </c>
      <c r="E19" s="175">
        <v>569</v>
      </c>
      <c r="F19" s="175">
        <v>268</v>
      </c>
      <c r="G19" s="175">
        <v>1138</v>
      </c>
      <c r="H19" s="173">
        <v>41</v>
      </c>
      <c r="I19" s="468"/>
      <c r="J19" s="173" t="s">
        <v>306</v>
      </c>
      <c r="K19" s="173">
        <v>92</v>
      </c>
      <c r="L19" s="175">
        <v>1115</v>
      </c>
      <c r="M19" s="175">
        <v>56</v>
      </c>
      <c r="N19" s="175">
        <v>205</v>
      </c>
      <c r="O19" s="175">
        <v>112</v>
      </c>
      <c r="P19" s="173">
        <v>2</v>
      </c>
      <c r="Q19" s="468"/>
      <c r="R19" s="173" t="s">
        <v>306</v>
      </c>
      <c r="S19" s="173">
        <v>91</v>
      </c>
      <c r="T19" s="175">
        <v>2010</v>
      </c>
      <c r="U19" s="175">
        <v>101</v>
      </c>
      <c r="V19" s="175">
        <v>370</v>
      </c>
      <c r="W19" s="175">
        <v>201</v>
      </c>
      <c r="X19" s="173">
        <v>2</v>
      </c>
      <c r="Y19" s="468"/>
      <c r="Z19" s="173" t="s">
        <v>306</v>
      </c>
      <c r="AA19" s="173">
        <v>407</v>
      </c>
      <c r="AB19" s="175">
        <v>3808</v>
      </c>
      <c r="AC19" s="175">
        <v>46</v>
      </c>
      <c r="AD19" s="175">
        <v>22</v>
      </c>
      <c r="AE19" s="175">
        <v>92</v>
      </c>
      <c r="AF19" s="173">
        <v>9</v>
      </c>
      <c r="AG19" s="468"/>
      <c r="AH19" s="173" t="s">
        <v>306</v>
      </c>
      <c r="AI19" s="173">
        <v>0</v>
      </c>
      <c r="AJ19" s="175">
        <v>0</v>
      </c>
      <c r="AK19" s="175">
        <v>0</v>
      </c>
      <c r="AL19" s="175">
        <v>0</v>
      </c>
      <c r="AM19" s="175">
        <v>0</v>
      </c>
      <c r="AN19" s="173">
        <v>0</v>
      </c>
      <c r="AO19" s="468"/>
      <c r="AP19" s="173" t="s">
        <v>306</v>
      </c>
      <c r="AQ19" s="173">
        <v>93</v>
      </c>
      <c r="AR19" s="175">
        <v>1128</v>
      </c>
      <c r="AS19" s="175">
        <v>57</v>
      </c>
      <c r="AT19" s="175">
        <v>207</v>
      </c>
      <c r="AU19" s="175">
        <v>112</v>
      </c>
      <c r="AV19" s="173">
        <v>2</v>
      </c>
      <c r="AW19" s="173">
        <f t="shared" si="8"/>
        <v>56</v>
      </c>
    </row>
    <row r="20" spans="1:49" x14ac:dyDescent="0.2">
      <c r="A20" s="468"/>
      <c r="B20" s="173" t="s">
        <v>307</v>
      </c>
      <c r="C20" s="173">
        <v>488</v>
      </c>
      <c r="D20" s="175">
        <v>5089</v>
      </c>
      <c r="E20" s="175">
        <v>143</v>
      </c>
      <c r="F20" s="175">
        <v>67</v>
      </c>
      <c r="G20" s="175">
        <v>284</v>
      </c>
      <c r="H20" s="173">
        <v>9</v>
      </c>
      <c r="I20" s="468"/>
      <c r="J20" s="173" t="s">
        <v>307</v>
      </c>
      <c r="K20" s="173">
        <v>104</v>
      </c>
      <c r="L20" s="175">
        <v>1311</v>
      </c>
      <c r="M20" s="175">
        <v>65</v>
      </c>
      <c r="N20" s="175">
        <v>241</v>
      </c>
      <c r="O20" s="175">
        <v>131</v>
      </c>
      <c r="P20" s="173">
        <v>2</v>
      </c>
      <c r="Q20" s="468"/>
      <c r="R20" s="173" t="s">
        <v>307</v>
      </c>
      <c r="S20" s="173">
        <v>161</v>
      </c>
      <c r="T20" s="175">
        <v>3939</v>
      </c>
      <c r="U20" s="175">
        <v>197</v>
      </c>
      <c r="V20" s="175">
        <v>725</v>
      </c>
      <c r="W20" s="175">
        <v>394</v>
      </c>
      <c r="X20" s="173">
        <v>3</v>
      </c>
      <c r="Y20" s="468"/>
      <c r="Z20" s="173" t="s">
        <v>307</v>
      </c>
      <c r="AA20" s="173">
        <v>217</v>
      </c>
      <c r="AB20" s="175">
        <v>1816</v>
      </c>
      <c r="AC20" s="175">
        <v>44</v>
      </c>
      <c r="AD20" s="175">
        <v>22</v>
      </c>
      <c r="AE20" s="175">
        <v>87</v>
      </c>
      <c r="AF20" s="173">
        <v>4</v>
      </c>
      <c r="AG20" s="468"/>
      <c r="AH20" s="173" t="s">
        <v>307</v>
      </c>
      <c r="AI20" s="173">
        <v>112</v>
      </c>
      <c r="AJ20" s="175">
        <v>1252</v>
      </c>
      <c r="AK20" s="175">
        <v>31</v>
      </c>
      <c r="AL20" s="175">
        <v>215</v>
      </c>
      <c r="AM20" s="175">
        <v>62</v>
      </c>
      <c r="AN20" s="173">
        <v>2</v>
      </c>
      <c r="AO20" s="468"/>
      <c r="AP20" s="173" t="s">
        <v>307</v>
      </c>
      <c r="AQ20" s="173">
        <v>56</v>
      </c>
      <c r="AR20" s="175">
        <v>689</v>
      </c>
      <c r="AS20" s="175">
        <v>34</v>
      </c>
      <c r="AT20" s="175">
        <v>127</v>
      </c>
      <c r="AU20" s="175">
        <v>69</v>
      </c>
      <c r="AV20" s="173">
        <v>1</v>
      </c>
      <c r="AW20" s="173">
        <f t="shared" si="8"/>
        <v>21</v>
      </c>
    </row>
    <row r="21" spans="1:49" x14ac:dyDescent="0.2">
      <c r="A21" s="469"/>
      <c r="B21" s="173" t="s">
        <v>308</v>
      </c>
      <c r="C21" s="173">
        <v>22626</v>
      </c>
      <c r="D21" s="175">
        <v>47578</v>
      </c>
      <c r="E21" s="175">
        <v>9843</v>
      </c>
      <c r="F21" s="175">
        <v>4489</v>
      </c>
      <c r="G21" s="175">
        <v>19646</v>
      </c>
      <c r="H21" s="173">
        <v>129</v>
      </c>
      <c r="I21" s="469"/>
      <c r="J21" s="173" t="s">
        <v>308</v>
      </c>
      <c r="K21" s="173">
        <v>471</v>
      </c>
      <c r="L21" s="175">
        <v>5875</v>
      </c>
      <c r="M21" s="175">
        <v>153</v>
      </c>
      <c r="N21" s="175">
        <v>1012</v>
      </c>
      <c r="O21" s="175">
        <v>302</v>
      </c>
      <c r="P21" s="173">
        <v>3</v>
      </c>
      <c r="Q21" s="469"/>
      <c r="R21" s="173" t="s">
        <v>308</v>
      </c>
      <c r="S21" s="173">
        <v>564</v>
      </c>
      <c r="T21" s="175">
        <v>14670</v>
      </c>
      <c r="U21" s="175">
        <v>335</v>
      </c>
      <c r="V21" s="175">
        <v>2508</v>
      </c>
      <c r="W21" s="175">
        <v>671</v>
      </c>
      <c r="X21" s="173">
        <v>4</v>
      </c>
      <c r="Y21" s="469"/>
      <c r="Z21" s="173" t="s">
        <v>308</v>
      </c>
      <c r="AA21" s="173">
        <v>1632</v>
      </c>
      <c r="AB21" s="175">
        <v>12176</v>
      </c>
      <c r="AC21" s="175">
        <v>278</v>
      </c>
      <c r="AD21" s="175">
        <v>162</v>
      </c>
      <c r="AE21" s="175">
        <v>603</v>
      </c>
      <c r="AF21" s="173">
        <v>11</v>
      </c>
      <c r="AG21" s="469"/>
      <c r="AH21" s="173" t="s">
        <v>308</v>
      </c>
      <c r="AI21" s="173">
        <v>514</v>
      </c>
      <c r="AJ21" s="175">
        <v>5487</v>
      </c>
      <c r="AK21" s="175">
        <v>196</v>
      </c>
      <c r="AL21" s="175">
        <v>972</v>
      </c>
      <c r="AM21" s="175">
        <v>391</v>
      </c>
      <c r="AN21" s="173">
        <v>5</v>
      </c>
      <c r="AO21" s="469"/>
      <c r="AP21" s="173" t="s">
        <v>308</v>
      </c>
      <c r="AQ21" s="173">
        <v>584</v>
      </c>
      <c r="AR21" s="175">
        <v>7295</v>
      </c>
      <c r="AS21" s="175">
        <v>310</v>
      </c>
      <c r="AT21" s="175">
        <v>1315</v>
      </c>
      <c r="AU21" s="175">
        <v>618</v>
      </c>
      <c r="AV21" s="173">
        <v>6</v>
      </c>
      <c r="AW21" s="173">
        <f t="shared" si="8"/>
        <v>158</v>
      </c>
    </row>
    <row r="22" spans="1:49" x14ac:dyDescent="0.2">
      <c r="C22" s="173">
        <f t="shared" ref="C22:H22" si="9">SUM(C15:C21)</f>
        <v>58630</v>
      </c>
      <c r="D22" s="176">
        <f t="shared" si="9"/>
        <v>567604</v>
      </c>
      <c r="E22" s="176">
        <f t="shared" si="9"/>
        <v>25793</v>
      </c>
      <c r="F22" s="176">
        <f t="shared" si="9"/>
        <v>11557</v>
      </c>
      <c r="G22" s="176">
        <f t="shared" si="9"/>
        <v>51196</v>
      </c>
      <c r="H22" s="173">
        <f t="shared" si="9"/>
        <v>3323</v>
      </c>
      <c r="K22" s="173">
        <f t="shared" ref="K22:P22" si="10">SUM(K15:K21)</f>
        <v>1777</v>
      </c>
      <c r="L22" s="176">
        <f t="shared" si="10"/>
        <v>38122</v>
      </c>
      <c r="M22" s="176">
        <f t="shared" si="10"/>
        <v>1714</v>
      </c>
      <c r="N22" s="176">
        <f t="shared" si="10"/>
        <v>6892</v>
      </c>
      <c r="O22" s="176">
        <f t="shared" si="10"/>
        <v>3342</v>
      </c>
      <c r="P22" s="173">
        <f t="shared" si="10"/>
        <v>153</v>
      </c>
      <c r="S22" s="173">
        <f t="shared" ref="S22:X22" si="11">SUM(S15:S21)</f>
        <v>830</v>
      </c>
      <c r="T22" s="176">
        <f t="shared" si="11"/>
        <v>21527</v>
      </c>
      <c r="U22" s="176">
        <f t="shared" si="11"/>
        <v>679</v>
      </c>
      <c r="V22" s="176">
        <f t="shared" si="11"/>
        <v>3770</v>
      </c>
      <c r="W22" s="176">
        <f t="shared" si="11"/>
        <v>1357</v>
      </c>
      <c r="X22" s="173">
        <f t="shared" si="11"/>
        <v>11</v>
      </c>
      <c r="AA22" s="173">
        <f t="shared" ref="AA22:AF22" si="12">SUM(AA15:AA21)</f>
        <v>9231</v>
      </c>
      <c r="AB22" s="176">
        <f t="shared" si="12"/>
        <v>92825</v>
      </c>
      <c r="AC22" s="176">
        <f t="shared" si="12"/>
        <v>2960</v>
      </c>
      <c r="AD22" s="176">
        <f t="shared" si="12"/>
        <v>1662.76</v>
      </c>
      <c r="AE22" s="176">
        <f t="shared" si="12"/>
        <v>6254</v>
      </c>
      <c r="AF22" s="173">
        <f t="shared" si="12"/>
        <v>608</v>
      </c>
      <c r="AI22" s="173">
        <f t="shared" ref="AI22:AN22" si="13">SUM(AI15:AI21)</f>
        <v>3250</v>
      </c>
      <c r="AJ22" s="176">
        <f t="shared" si="13"/>
        <v>43043</v>
      </c>
      <c r="AK22" s="176">
        <f t="shared" si="13"/>
        <v>1983</v>
      </c>
      <c r="AL22" s="176">
        <f t="shared" si="13"/>
        <v>7802</v>
      </c>
      <c r="AM22" s="176">
        <f t="shared" si="13"/>
        <v>3884</v>
      </c>
      <c r="AN22" s="173">
        <f t="shared" si="13"/>
        <v>191</v>
      </c>
      <c r="AQ22" s="173">
        <f t="shared" ref="AQ22:AV22" si="14">SUM(AQ15:AQ21)</f>
        <v>1016</v>
      </c>
      <c r="AR22" s="176">
        <f t="shared" si="14"/>
        <v>16182</v>
      </c>
      <c r="AS22" s="176">
        <f t="shared" si="14"/>
        <v>718</v>
      </c>
      <c r="AT22" s="176">
        <f t="shared" si="14"/>
        <v>2934</v>
      </c>
      <c r="AU22" s="176">
        <f t="shared" si="14"/>
        <v>1432</v>
      </c>
      <c r="AV22" s="173">
        <f t="shared" si="14"/>
        <v>48</v>
      </c>
      <c r="AW22" s="173">
        <f>SUM(AW15:AW21)</f>
        <v>4334</v>
      </c>
    </row>
    <row r="23" spans="1:49" x14ac:dyDescent="0.2">
      <c r="AR23" s="176"/>
      <c r="AS23" s="176"/>
      <c r="AT23" s="176"/>
      <c r="AU23" s="176"/>
    </row>
    <row r="25" spans="1:49" ht="22.5" x14ac:dyDescent="0.2">
      <c r="A25" s="174" t="s">
        <v>6</v>
      </c>
      <c r="B25" s="174"/>
      <c r="C25" s="174" t="s">
        <v>313</v>
      </c>
      <c r="D25" s="174" t="s">
        <v>309</v>
      </c>
      <c r="E25" s="174" t="s">
        <v>238</v>
      </c>
      <c r="F25" s="174" t="s">
        <v>311</v>
      </c>
      <c r="G25" s="174" t="s">
        <v>310</v>
      </c>
      <c r="H25" s="174" t="s">
        <v>312</v>
      </c>
      <c r="I25" s="174"/>
      <c r="J25" s="174"/>
      <c r="K25" s="174" t="s">
        <v>313</v>
      </c>
      <c r="L25" s="174" t="s">
        <v>309</v>
      </c>
      <c r="M25" s="174" t="s">
        <v>238</v>
      </c>
      <c r="N25" s="174" t="s">
        <v>311</v>
      </c>
      <c r="O25" s="174" t="s">
        <v>310</v>
      </c>
      <c r="P25" s="174" t="s">
        <v>312</v>
      </c>
      <c r="Q25" s="174"/>
      <c r="R25" s="174"/>
      <c r="S25" s="174" t="s">
        <v>313</v>
      </c>
      <c r="T25" s="174" t="s">
        <v>309</v>
      </c>
      <c r="U25" s="174" t="s">
        <v>238</v>
      </c>
      <c r="V25" s="174" t="s">
        <v>311</v>
      </c>
      <c r="W25" s="174" t="s">
        <v>310</v>
      </c>
      <c r="X25" s="174" t="s">
        <v>312</v>
      </c>
      <c r="Y25" s="174"/>
      <c r="Z25" s="174"/>
      <c r="AA25" s="174" t="s">
        <v>313</v>
      </c>
      <c r="AB25" s="174" t="s">
        <v>309</v>
      </c>
      <c r="AC25" s="174" t="s">
        <v>238</v>
      </c>
      <c r="AD25" s="174" t="s">
        <v>311</v>
      </c>
      <c r="AE25" s="174" t="s">
        <v>310</v>
      </c>
      <c r="AF25" s="174" t="s">
        <v>312</v>
      </c>
      <c r="AG25" s="174"/>
      <c r="AH25" s="174"/>
      <c r="AI25" s="174" t="s">
        <v>313</v>
      </c>
      <c r="AJ25" s="174" t="s">
        <v>309</v>
      </c>
      <c r="AK25" s="174" t="s">
        <v>238</v>
      </c>
      <c r="AL25" s="174" t="s">
        <v>311</v>
      </c>
      <c r="AM25" s="174" t="s">
        <v>310</v>
      </c>
      <c r="AN25" s="174" t="s">
        <v>312</v>
      </c>
      <c r="AO25" s="174"/>
      <c r="AP25" s="174"/>
      <c r="AQ25" s="174" t="s">
        <v>313</v>
      </c>
      <c r="AR25" s="174" t="s">
        <v>309</v>
      </c>
      <c r="AS25" s="174" t="s">
        <v>238</v>
      </c>
      <c r="AT25" s="174" t="s">
        <v>310</v>
      </c>
      <c r="AU25" s="174" t="s">
        <v>311</v>
      </c>
      <c r="AV25" s="174" t="s">
        <v>312</v>
      </c>
    </row>
    <row r="26" spans="1:49" x14ac:dyDescent="0.2">
      <c r="A26" s="467" t="s">
        <v>39</v>
      </c>
      <c r="B26" s="173" t="s">
        <v>302</v>
      </c>
      <c r="C26" s="173">
        <v>14530</v>
      </c>
      <c r="D26" s="175">
        <v>285724</v>
      </c>
      <c r="E26" s="175">
        <v>8721</v>
      </c>
      <c r="F26" s="175">
        <v>3732</v>
      </c>
      <c r="G26" s="175">
        <v>17388</v>
      </c>
      <c r="H26" s="173">
        <v>2116</v>
      </c>
      <c r="I26" s="467" t="s">
        <v>40</v>
      </c>
      <c r="J26" s="173" t="s">
        <v>302</v>
      </c>
      <c r="K26" s="173">
        <v>586</v>
      </c>
      <c r="L26" s="175">
        <v>22102</v>
      </c>
      <c r="M26" s="175">
        <v>1069</v>
      </c>
      <c r="N26" s="175">
        <v>4056</v>
      </c>
      <c r="O26" s="175">
        <v>2023</v>
      </c>
      <c r="P26" s="173">
        <v>123</v>
      </c>
      <c r="Q26" s="467" t="s">
        <v>41</v>
      </c>
      <c r="R26" s="173" t="s">
        <v>302</v>
      </c>
      <c r="S26" s="173">
        <v>12</v>
      </c>
      <c r="T26" s="175">
        <v>310</v>
      </c>
      <c r="U26" s="175">
        <v>16</v>
      </c>
      <c r="V26" s="175">
        <v>57</v>
      </c>
      <c r="W26" s="175">
        <v>31</v>
      </c>
      <c r="X26" s="173">
        <v>1</v>
      </c>
      <c r="Y26" s="467" t="s">
        <v>314</v>
      </c>
      <c r="Z26" s="173" t="s">
        <v>302</v>
      </c>
      <c r="AA26" s="173">
        <v>2957</v>
      </c>
      <c r="AB26" s="175">
        <v>41778</v>
      </c>
      <c r="AC26" s="175">
        <v>1385</v>
      </c>
      <c r="AD26" s="175">
        <v>830</v>
      </c>
      <c r="AE26" s="175">
        <v>3046</v>
      </c>
      <c r="AF26" s="173">
        <v>384</v>
      </c>
      <c r="AG26" s="467" t="s">
        <v>42</v>
      </c>
      <c r="AH26" s="173" t="s">
        <v>302</v>
      </c>
      <c r="AI26" s="173">
        <v>714</v>
      </c>
      <c r="AJ26" s="175">
        <v>13931</v>
      </c>
      <c r="AK26" s="175">
        <v>696</v>
      </c>
      <c r="AL26" s="175">
        <v>2581</v>
      </c>
      <c r="AM26" s="175">
        <v>1375</v>
      </c>
      <c r="AN26" s="173">
        <v>83</v>
      </c>
      <c r="AO26" s="467" t="s">
        <v>315</v>
      </c>
      <c r="AP26" s="173" t="s">
        <v>302</v>
      </c>
      <c r="AQ26" s="173">
        <v>112</v>
      </c>
      <c r="AR26" s="175">
        <v>4428</v>
      </c>
      <c r="AS26" s="175">
        <v>192</v>
      </c>
      <c r="AT26" s="175">
        <v>798</v>
      </c>
      <c r="AU26" s="175">
        <v>384</v>
      </c>
      <c r="AV26" s="173">
        <v>29</v>
      </c>
    </row>
    <row r="27" spans="1:49" x14ac:dyDescent="0.2">
      <c r="A27" s="468"/>
      <c r="B27" s="173" t="s">
        <v>303</v>
      </c>
      <c r="C27" s="173">
        <v>7707</v>
      </c>
      <c r="D27" s="175">
        <v>81302</v>
      </c>
      <c r="E27" s="175">
        <v>2588</v>
      </c>
      <c r="F27" s="175">
        <v>1216</v>
      </c>
      <c r="G27" s="175">
        <v>5280</v>
      </c>
      <c r="H27" s="173">
        <v>431</v>
      </c>
      <c r="I27" s="468"/>
      <c r="J27" s="173" t="s">
        <v>303</v>
      </c>
      <c r="K27" s="173">
        <v>193</v>
      </c>
      <c r="L27" s="175">
        <v>2581</v>
      </c>
      <c r="M27" s="175">
        <v>127</v>
      </c>
      <c r="N27" s="175">
        <v>473</v>
      </c>
      <c r="O27" s="175">
        <v>259</v>
      </c>
      <c r="P27" s="173">
        <v>11</v>
      </c>
      <c r="Q27" s="468"/>
      <c r="R27" s="173" t="s">
        <v>303</v>
      </c>
      <c r="S27" s="173">
        <v>0</v>
      </c>
      <c r="T27" s="175">
        <v>0</v>
      </c>
      <c r="U27" s="175">
        <v>0</v>
      </c>
      <c r="V27" s="175">
        <v>0</v>
      </c>
      <c r="W27" s="175">
        <v>0</v>
      </c>
      <c r="X27" s="173">
        <v>0</v>
      </c>
      <c r="Y27" s="468"/>
      <c r="Z27" s="173" t="s">
        <v>303</v>
      </c>
      <c r="AA27" s="173">
        <v>1393</v>
      </c>
      <c r="AB27" s="175">
        <v>10658</v>
      </c>
      <c r="AC27" s="175">
        <v>457</v>
      </c>
      <c r="AD27" s="175">
        <v>223</v>
      </c>
      <c r="AE27" s="175">
        <v>935</v>
      </c>
      <c r="AF27" s="173">
        <v>79</v>
      </c>
      <c r="AG27" s="468"/>
      <c r="AH27" s="173" t="s">
        <v>303</v>
      </c>
      <c r="AI27" s="173">
        <v>642</v>
      </c>
      <c r="AJ27" s="175">
        <v>7549</v>
      </c>
      <c r="AK27" s="175">
        <v>373</v>
      </c>
      <c r="AL27" s="175">
        <v>1395</v>
      </c>
      <c r="AM27" s="175">
        <v>732</v>
      </c>
      <c r="AN27" s="173">
        <v>37</v>
      </c>
      <c r="AO27" s="468"/>
      <c r="AP27" s="173" t="s">
        <v>303</v>
      </c>
      <c r="AQ27" s="173">
        <v>70</v>
      </c>
      <c r="AR27" s="175">
        <v>726</v>
      </c>
      <c r="AS27" s="175">
        <v>37</v>
      </c>
      <c r="AT27" s="175">
        <v>133</v>
      </c>
      <c r="AU27" s="175">
        <v>72</v>
      </c>
      <c r="AV27" s="173">
        <v>4</v>
      </c>
    </row>
    <row r="28" spans="1:49" x14ac:dyDescent="0.2">
      <c r="A28" s="468"/>
      <c r="B28" s="173" t="s">
        <v>304</v>
      </c>
      <c r="C28" s="173">
        <v>6192</v>
      </c>
      <c r="D28" s="175">
        <v>65495</v>
      </c>
      <c r="E28" s="175">
        <v>2084</v>
      </c>
      <c r="F28" s="175">
        <v>962</v>
      </c>
      <c r="G28" s="175">
        <v>4224</v>
      </c>
      <c r="H28" s="173">
        <v>273</v>
      </c>
      <c r="I28" s="468"/>
      <c r="J28" s="173" t="s">
        <v>304</v>
      </c>
      <c r="K28" s="173">
        <v>134</v>
      </c>
      <c r="L28" s="175">
        <v>1900</v>
      </c>
      <c r="M28" s="175">
        <v>97</v>
      </c>
      <c r="N28" s="175">
        <v>350</v>
      </c>
      <c r="O28" s="175">
        <v>188</v>
      </c>
      <c r="P28" s="173">
        <v>6</v>
      </c>
      <c r="Q28" s="468"/>
      <c r="R28" s="173" t="s">
        <v>304</v>
      </c>
      <c r="S28" s="173">
        <v>0</v>
      </c>
      <c r="T28" s="175">
        <v>0</v>
      </c>
      <c r="U28" s="175">
        <v>0</v>
      </c>
      <c r="V28" s="175">
        <v>0</v>
      </c>
      <c r="W28" s="175">
        <v>0</v>
      </c>
      <c r="X28" s="173">
        <v>0</v>
      </c>
      <c r="Y28" s="468"/>
      <c r="Z28" s="173" t="s">
        <v>304</v>
      </c>
      <c r="AA28" s="173">
        <v>1373</v>
      </c>
      <c r="AB28" s="175">
        <v>10928</v>
      </c>
      <c r="AC28" s="175">
        <v>366</v>
      </c>
      <c r="AD28" s="175">
        <v>176</v>
      </c>
      <c r="AE28" s="175">
        <v>737</v>
      </c>
      <c r="AF28" s="173">
        <v>60</v>
      </c>
      <c r="AG28" s="468"/>
      <c r="AH28" s="173" t="s">
        <v>304</v>
      </c>
      <c r="AI28" s="173">
        <v>613</v>
      </c>
      <c r="AJ28" s="175">
        <v>6945</v>
      </c>
      <c r="AK28" s="175">
        <v>338</v>
      </c>
      <c r="AL28" s="175">
        <v>1263</v>
      </c>
      <c r="AM28" s="175">
        <v>663</v>
      </c>
      <c r="AN28" s="173">
        <v>27</v>
      </c>
      <c r="AO28" s="468"/>
      <c r="AP28" s="173" t="s">
        <v>304</v>
      </c>
      <c r="AQ28" s="173">
        <v>48</v>
      </c>
      <c r="AR28" s="175">
        <v>451</v>
      </c>
      <c r="AS28" s="175">
        <v>22</v>
      </c>
      <c r="AT28" s="175">
        <v>83</v>
      </c>
      <c r="AU28" s="175">
        <v>45</v>
      </c>
      <c r="AV28" s="173">
        <v>2</v>
      </c>
    </row>
    <row r="29" spans="1:49" x14ac:dyDescent="0.2">
      <c r="A29" s="468"/>
      <c r="B29" s="173" t="s">
        <v>305</v>
      </c>
      <c r="C29" s="173">
        <v>9438</v>
      </c>
      <c r="D29" s="175">
        <v>98338</v>
      </c>
      <c r="E29" s="175">
        <v>2753</v>
      </c>
      <c r="F29" s="175">
        <v>1290</v>
      </c>
      <c r="G29" s="175">
        <v>5520</v>
      </c>
      <c r="H29" s="173">
        <v>304</v>
      </c>
      <c r="I29" s="468"/>
      <c r="J29" s="173" t="s">
        <v>305</v>
      </c>
      <c r="K29" s="173">
        <v>420</v>
      </c>
      <c r="L29" s="175">
        <v>5482</v>
      </c>
      <c r="M29" s="175">
        <v>255</v>
      </c>
      <c r="N29" s="175">
        <v>999</v>
      </c>
      <c r="O29" s="175">
        <v>510</v>
      </c>
      <c r="P29" s="173">
        <v>13</v>
      </c>
      <c r="Q29" s="468"/>
      <c r="R29" s="173" t="s">
        <v>305</v>
      </c>
      <c r="S29" s="173">
        <v>62</v>
      </c>
      <c r="T29" s="175">
        <v>1326</v>
      </c>
      <c r="U29" s="175">
        <v>67</v>
      </c>
      <c r="V29" s="175">
        <v>244</v>
      </c>
      <c r="W29" s="175">
        <v>133</v>
      </c>
      <c r="X29" s="173">
        <v>2</v>
      </c>
      <c r="Y29" s="468"/>
      <c r="Z29" s="173" t="s">
        <v>305</v>
      </c>
      <c r="AA29" s="173">
        <v>2592</v>
      </c>
      <c r="AB29" s="9">
        <v>20732</v>
      </c>
      <c r="AC29" s="9">
        <v>690</v>
      </c>
      <c r="AD29" s="9">
        <v>334</v>
      </c>
      <c r="AE29" s="9">
        <v>1389</v>
      </c>
      <c r="AF29" s="173">
        <v>83</v>
      </c>
      <c r="AG29" s="468"/>
      <c r="AH29" s="173" t="s">
        <v>305</v>
      </c>
      <c r="AI29" s="173">
        <v>1055</v>
      </c>
      <c r="AJ29" s="175">
        <v>11652</v>
      </c>
      <c r="AK29" s="175">
        <v>548</v>
      </c>
      <c r="AL29" s="175">
        <v>2127</v>
      </c>
      <c r="AM29" s="175">
        <v>1089</v>
      </c>
      <c r="AN29" s="173">
        <v>32</v>
      </c>
      <c r="AO29" s="468"/>
      <c r="AP29" s="173" t="s">
        <v>305</v>
      </c>
      <c r="AQ29" s="173">
        <v>164</v>
      </c>
      <c r="AR29" s="175">
        <v>1795</v>
      </c>
      <c r="AS29" s="175">
        <v>82</v>
      </c>
      <c r="AT29" s="175">
        <v>325</v>
      </c>
      <c r="AU29" s="175">
        <v>164</v>
      </c>
      <c r="AV29" s="173">
        <v>5</v>
      </c>
    </row>
    <row r="30" spans="1:49" x14ac:dyDescent="0.2">
      <c r="A30" s="468"/>
      <c r="B30" s="173" t="s">
        <v>306</v>
      </c>
      <c r="C30" s="173">
        <v>2380</v>
      </c>
      <c r="D30" s="175">
        <v>24528</v>
      </c>
      <c r="E30" s="175">
        <v>669</v>
      </c>
      <c r="F30" s="175">
        <v>321</v>
      </c>
      <c r="G30" s="175">
        <v>1357</v>
      </c>
      <c r="H30" s="173">
        <v>54</v>
      </c>
      <c r="I30" s="468"/>
      <c r="J30" s="173" t="s">
        <v>306</v>
      </c>
      <c r="K30" s="173">
        <v>189</v>
      </c>
      <c r="L30" s="175">
        <v>2368</v>
      </c>
      <c r="M30" s="175">
        <v>119</v>
      </c>
      <c r="N30" s="175">
        <v>436</v>
      </c>
      <c r="O30" s="175">
        <v>236</v>
      </c>
      <c r="P30" s="173">
        <v>4</v>
      </c>
      <c r="Q30" s="468"/>
      <c r="R30" s="173" t="s">
        <v>306</v>
      </c>
      <c r="S30" s="173">
        <v>44</v>
      </c>
      <c r="T30" s="175">
        <v>1024</v>
      </c>
      <c r="U30" s="175">
        <v>51</v>
      </c>
      <c r="V30" s="175">
        <v>188</v>
      </c>
      <c r="W30" s="175">
        <v>102</v>
      </c>
      <c r="X30" s="173">
        <v>1</v>
      </c>
      <c r="Y30" s="468"/>
      <c r="Z30" s="173" t="s">
        <v>306</v>
      </c>
      <c r="AA30" s="173">
        <v>631</v>
      </c>
      <c r="AB30" s="175">
        <v>5487</v>
      </c>
      <c r="AC30" s="175">
        <v>88</v>
      </c>
      <c r="AD30" s="175">
        <v>42</v>
      </c>
      <c r="AE30" s="175">
        <v>180</v>
      </c>
      <c r="AF30" s="173">
        <v>14</v>
      </c>
      <c r="AG30" s="468"/>
      <c r="AH30" s="173" t="s">
        <v>306</v>
      </c>
      <c r="AI30" s="173">
        <v>178</v>
      </c>
      <c r="AJ30" s="175">
        <v>2072</v>
      </c>
      <c r="AK30" s="175">
        <v>103</v>
      </c>
      <c r="AL30" s="175">
        <v>381</v>
      </c>
      <c r="AM30" s="175">
        <v>207</v>
      </c>
      <c r="AN30" s="173">
        <v>4</v>
      </c>
      <c r="AO30" s="468"/>
      <c r="AP30" s="173" t="s">
        <v>306</v>
      </c>
      <c r="AQ30" s="173">
        <v>48</v>
      </c>
      <c r="AR30" s="175">
        <v>585</v>
      </c>
      <c r="AS30" s="175">
        <v>0</v>
      </c>
      <c r="AT30" s="175">
        <v>94</v>
      </c>
      <c r="AU30" s="175">
        <v>0</v>
      </c>
      <c r="AV30" s="173">
        <v>1</v>
      </c>
    </row>
    <row r="31" spans="1:49" x14ac:dyDescent="0.2">
      <c r="A31" s="468"/>
      <c r="B31" s="173" t="s">
        <v>307</v>
      </c>
      <c r="C31" s="173">
        <v>1318</v>
      </c>
      <c r="D31" s="175">
        <v>14308</v>
      </c>
      <c r="E31" s="175">
        <v>270</v>
      </c>
      <c r="F31" s="175">
        <v>129</v>
      </c>
      <c r="G31" s="175">
        <v>545</v>
      </c>
      <c r="H31" s="173">
        <v>24</v>
      </c>
      <c r="I31" s="468"/>
      <c r="J31" s="173" t="s">
        <v>307</v>
      </c>
      <c r="K31" s="173">
        <v>0</v>
      </c>
      <c r="L31" s="175">
        <v>0</v>
      </c>
      <c r="M31" s="175">
        <v>0</v>
      </c>
      <c r="N31" s="175">
        <v>0</v>
      </c>
      <c r="O31" s="175">
        <v>0</v>
      </c>
      <c r="P31" s="173">
        <v>0</v>
      </c>
      <c r="Q31" s="468"/>
      <c r="R31" s="173" t="s">
        <v>307</v>
      </c>
      <c r="S31" s="173">
        <v>170</v>
      </c>
      <c r="T31" s="175">
        <v>3879</v>
      </c>
      <c r="U31" s="175">
        <v>136</v>
      </c>
      <c r="V31" s="175">
        <v>685</v>
      </c>
      <c r="W31" s="175">
        <v>272</v>
      </c>
      <c r="X31" s="173">
        <v>3</v>
      </c>
      <c r="Y31" s="468"/>
      <c r="Z31" s="173" t="s">
        <v>307</v>
      </c>
      <c r="AA31" s="173">
        <v>375</v>
      </c>
      <c r="AB31" s="175">
        <v>3455</v>
      </c>
      <c r="AC31" s="175">
        <v>102</v>
      </c>
      <c r="AD31" s="175">
        <v>49</v>
      </c>
      <c r="AE31" s="175">
        <v>207</v>
      </c>
      <c r="AF31" s="173">
        <v>7</v>
      </c>
      <c r="AG31" s="468"/>
      <c r="AH31" s="173" t="s">
        <v>307</v>
      </c>
      <c r="AI31" s="173">
        <v>111</v>
      </c>
      <c r="AJ31" s="175">
        <v>1280</v>
      </c>
      <c r="AK31" s="175">
        <v>64</v>
      </c>
      <c r="AL31" s="175">
        <v>235</v>
      </c>
      <c r="AM31" s="175">
        <v>129</v>
      </c>
      <c r="AN31" s="173">
        <v>2</v>
      </c>
      <c r="AO31" s="468"/>
      <c r="AP31" s="173" t="s">
        <v>307</v>
      </c>
      <c r="AQ31" s="173">
        <v>57</v>
      </c>
      <c r="AR31" s="175">
        <v>705</v>
      </c>
      <c r="AS31" s="175">
        <v>35</v>
      </c>
      <c r="AT31" s="175">
        <v>130</v>
      </c>
      <c r="AU31" s="175">
        <v>71</v>
      </c>
      <c r="AV31" s="173">
        <v>1</v>
      </c>
    </row>
    <row r="32" spans="1:49" x14ac:dyDescent="0.2">
      <c r="A32" s="469"/>
      <c r="B32" s="173" t="s">
        <v>308</v>
      </c>
      <c r="C32" s="173">
        <v>7570</v>
      </c>
      <c r="D32" s="175">
        <v>29422</v>
      </c>
      <c r="E32" s="175">
        <v>3029</v>
      </c>
      <c r="F32" s="175">
        <v>1327</v>
      </c>
      <c r="G32" s="175">
        <v>6054</v>
      </c>
      <c r="H32" s="173">
        <v>58</v>
      </c>
      <c r="I32" s="469"/>
      <c r="J32" s="173" t="s">
        <v>308</v>
      </c>
      <c r="K32" s="173">
        <v>703</v>
      </c>
      <c r="L32" s="175">
        <v>8794</v>
      </c>
      <c r="M32" s="175">
        <v>231</v>
      </c>
      <c r="N32" s="175">
        <v>1518</v>
      </c>
      <c r="O32" s="175">
        <v>458</v>
      </c>
      <c r="P32" s="173">
        <v>4</v>
      </c>
      <c r="Q32" s="469"/>
      <c r="R32" s="173" t="s">
        <v>308</v>
      </c>
      <c r="S32" s="173">
        <v>631</v>
      </c>
      <c r="T32" s="175">
        <v>16494</v>
      </c>
      <c r="U32" s="175">
        <v>491</v>
      </c>
      <c r="V32" s="175">
        <v>2875</v>
      </c>
      <c r="W32" s="175">
        <v>981</v>
      </c>
      <c r="X32" s="173">
        <v>5</v>
      </c>
      <c r="Y32" s="469"/>
      <c r="Z32" s="173" t="s">
        <v>308</v>
      </c>
      <c r="AA32" s="173">
        <v>757</v>
      </c>
      <c r="AB32" s="175">
        <v>6952</v>
      </c>
      <c r="AC32" s="175">
        <v>227</v>
      </c>
      <c r="AD32" s="175">
        <v>109</v>
      </c>
      <c r="AE32" s="175">
        <v>455</v>
      </c>
      <c r="AF32" s="173">
        <v>9</v>
      </c>
      <c r="AG32" s="469"/>
      <c r="AH32" s="173" t="s">
        <v>308</v>
      </c>
      <c r="AI32" s="173">
        <v>419</v>
      </c>
      <c r="AJ32" s="175">
        <v>4839</v>
      </c>
      <c r="AK32" s="175">
        <v>157</v>
      </c>
      <c r="AL32" s="175">
        <v>849</v>
      </c>
      <c r="AM32" s="175">
        <v>315</v>
      </c>
      <c r="AN32" s="173">
        <v>5</v>
      </c>
      <c r="AO32" s="469"/>
      <c r="AP32" s="173" t="s">
        <v>308</v>
      </c>
      <c r="AQ32" s="173">
        <v>971</v>
      </c>
      <c r="AR32" s="175">
        <v>5388</v>
      </c>
      <c r="AS32" s="175">
        <v>408</v>
      </c>
      <c r="AT32" s="175">
        <v>1059</v>
      </c>
      <c r="AU32" s="175">
        <v>819</v>
      </c>
      <c r="AV32" s="173">
        <v>9</v>
      </c>
    </row>
    <row r="33" spans="1:48" x14ac:dyDescent="0.2">
      <c r="C33" s="173">
        <f t="shared" ref="C33:H33" si="15">SUM(C26:C32)</f>
        <v>49135</v>
      </c>
      <c r="D33" s="176">
        <f t="shared" si="15"/>
        <v>599117</v>
      </c>
      <c r="E33" s="176">
        <f t="shared" si="15"/>
        <v>20114</v>
      </c>
      <c r="F33" s="176">
        <f t="shared" si="15"/>
        <v>8977</v>
      </c>
      <c r="G33" s="176">
        <f t="shared" si="15"/>
        <v>40368</v>
      </c>
      <c r="H33" s="173">
        <f t="shared" si="15"/>
        <v>3260</v>
      </c>
      <c r="K33" s="173">
        <f t="shared" ref="K33:P33" si="16">SUM(K26:K32)</f>
        <v>2225</v>
      </c>
      <c r="L33" s="176">
        <f t="shared" si="16"/>
        <v>43227</v>
      </c>
      <c r="M33" s="176">
        <f t="shared" si="16"/>
        <v>1898</v>
      </c>
      <c r="N33" s="176">
        <f t="shared" si="16"/>
        <v>7832</v>
      </c>
      <c r="O33" s="176">
        <f t="shared" si="16"/>
        <v>3674</v>
      </c>
      <c r="P33" s="173">
        <f t="shared" si="16"/>
        <v>161</v>
      </c>
      <c r="S33" s="173">
        <f t="shared" ref="S33:X33" si="17">SUM(S26:S32)</f>
        <v>919</v>
      </c>
      <c r="T33" s="176">
        <f t="shared" si="17"/>
        <v>23033</v>
      </c>
      <c r="U33" s="176">
        <f t="shared" si="17"/>
        <v>761</v>
      </c>
      <c r="V33" s="176">
        <f t="shared" si="17"/>
        <v>4049</v>
      </c>
      <c r="W33" s="176">
        <f t="shared" si="17"/>
        <v>1519</v>
      </c>
      <c r="X33" s="173">
        <f t="shared" si="17"/>
        <v>12</v>
      </c>
      <c r="AA33" s="173">
        <f t="shared" ref="AA33:AF33" si="18">SUM(AA26:AA32)</f>
        <v>10078</v>
      </c>
      <c r="AB33" s="176">
        <f t="shared" si="18"/>
        <v>99990</v>
      </c>
      <c r="AC33" s="176">
        <f t="shared" si="18"/>
        <v>3315</v>
      </c>
      <c r="AD33" s="176">
        <f t="shared" si="18"/>
        <v>1763</v>
      </c>
      <c r="AE33" s="176">
        <f t="shared" si="18"/>
        <v>6949</v>
      </c>
      <c r="AF33" s="173">
        <f t="shared" si="18"/>
        <v>636</v>
      </c>
      <c r="AI33" s="173">
        <f t="shared" ref="AI33:AN33" si="19">SUM(AI26:AI32)</f>
        <v>3732</v>
      </c>
      <c r="AJ33" s="176">
        <f t="shared" si="19"/>
        <v>48268</v>
      </c>
      <c r="AK33" s="176">
        <f t="shared" si="19"/>
        <v>2279</v>
      </c>
      <c r="AL33" s="176">
        <f t="shared" si="19"/>
        <v>8831</v>
      </c>
      <c r="AM33" s="176">
        <f t="shared" si="19"/>
        <v>4510</v>
      </c>
      <c r="AN33" s="173">
        <f t="shared" si="19"/>
        <v>190</v>
      </c>
      <c r="AQ33" s="173">
        <f t="shared" ref="AQ33:AV33" si="20">SUM(AQ26:AQ32)</f>
        <v>1470</v>
      </c>
      <c r="AR33" s="176">
        <f t="shared" si="20"/>
        <v>14078</v>
      </c>
      <c r="AS33" s="176">
        <f t="shared" si="20"/>
        <v>776</v>
      </c>
      <c r="AT33" s="176">
        <f t="shared" si="20"/>
        <v>2622</v>
      </c>
      <c r="AU33" s="176">
        <f t="shared" si="20"/>
        <v>1555</v>
      </c>
      <c r="AV33" s="173">
        <f t="shared" si="20"/>
        <v>51</v>
      </c>
    </row>
    <row r="36" spans="1:48" ht="22.5" x14ac:dyDescent="0.2">
      <c r="A36" s="174" t="s">
        <v>7</v>
      </c>
      <c r="B36" s="174"/>
      <c r="C36" s="174" t="s">
        <v>313</v>
      </c>
      <c r="D36" s="174" t="s">
        <v>309</v>
      </c>
      <c r="E36" s="174" t="s">
        <v>238</v>
      </c>
      <c r="F36" s="174" t="s">
        <v>311</v>
      </c>
      <c r="G36" s="174" t="s">
        <v>310</v>
      </c>
      <c r="H36" s="174" t="s">
        <v>312</v>
      </c>
      <c r="I36" s="174"/>
      <c r="J36" s="174"/>
      <c r="K36" s="174" t="s">
        <v>313</v>
      </c>
      <c r="L36" s="174" t="s">
        <v>309</v>
      </c>
      <c r="M36" s="174" t="s">
        <v>238</v>
      </c>
      <c r="N36" s="174" t="s">
        <v>311</v>
      </c>
      <c r="O36" s="174" t="s">
        <v>310</v>
      </c>
      <c r="P36" s="174" t="s">
        <v>312</v>
      </c>
      <c r="Q36" s="174"/>
      <c r="R36" s="174"/>
      <c r="S36" s="174" t="s">
        <v>313</v>
      </c>
      <c r="T36" s="174" t="s">
        <v>309</v>
      </c>
      <c r="U36" s="174" t="s">
        <v>238</v>
      </c>
      <c r="V36" s="174" t="s">
        <v>311</v>
      </c>
      <c r="W36" s="174" t="s">
        <v>310</v>
      </c>
      <c r="X36" s="174" t="s">
        <v>312</v>
      </c>
      <c r="Y36" s="174"/>
      <c r="Z36" s="174"/>
      <c r="AA36" s="174" t="s">
        <v>313</v>
      </c>
      <c r="AB36" s="174" t="s">
        <v>309</v>
      </c>
      <c r="AC36" s="174" t="s">
        <v>238</v>
      </c>
      <c r="AD36" s="174" t="s">
        <v>311</v>
      </c>
      <c r="AE36" s="174" t="s">
        <v>310</v>
      </c>
      <c r="AF36" s="174" t="s">
        <v>312</v>
      </c>
      <c r="AG36" s="174"/>
      <c r="AH36" s="174"/>
      <c r="AI36" s="174" t="s">
        <v>313</v>
      </c>
      <c r="AJ36" s="174" t="s">
        <v>309</v>
      </c>
      <c r="AK36" s="174" t="s">
        <v>238</v>
      </c>
      <c r="AL36" s="174" t="s">
        <v>311</v>
      </c>
      <c r="AM36" s="174" t="s">
        <v>310</v>
      </c>
      <c r="AN36" s="174" t="s">
        <v>312</v>
      </c>
      <c r="AO36" s="174"/>
      <c r="AP36" s="174"/>
      <c r="AQ36" s="174" t="s">
        <v>313</v>
      </c>
      <c r="AR36" s="174" t="s">
        <v>309</v>
      </c>
      <c r="AS36" s="174" t="s">
        <v>238</v>
      </c>
      <c r="AT36" s="174" t="s">
        <v>310</v>
      </c>
      <c r="AU36" s="174" t="s">
        <v>311</v>
      </c>
      <c r="AV36" s="174" t="s">
        <v>312</v>
      </c>
    </row>
    <row r="37" spans="1:48" x14ac:dyDescent="0.2">
      <c r="A37" s="467" t="s">
        <v>39</v>
      </c>
      <c r="B37" s="173" t="s">
        <v>302</v>
      </c>
      <c r="C37" s="173">
        <v>14096</v>
      </c>
      <c r="D37" s="175">
        <v>273130</v>
      </c>
      <c r="E37" s="175">
        <v>8344</v>
      </c>
      <c r="F37" s="175">
        <v>3570</v>
      </c>
      <c r="G37" s="175">
        <v>16646</v>
      </c>
      <c r="H37" s="173">
        <v>2119</v>
      </c>
      <c r="I37" s="467" t="s">
        <v>40</v>
      </c>
      <c r="J37" s="173" t="s">
        <v>302</v>
      </c>
      <c r="K37" s="173">
        <v>626</v>
      </c>
      <c r="L37" s="175">
        <v>24739</v>
      </c>
      <c r="M37" s="175">
        <v>1197</v>
      </c>
      <c r="N37" s="175">
        <v>4536</v>
      </c>
      <c r="O37" s="175">
        <v>2261</v>
      </c>
      <c r="P37" s="173">
        <v>124</v>
      </c>
      <c r="Q37" s="467" t="s">
        <v>41</v>
      </c>
      <c r="R37" s="173" t="s">
        <v>302</v>
      </c>
      <c r="S37" s="173">
        <v>0</v>
      </c>
      <c r="T37" s="175">
        <v>626</v>
      </c>
      <c r="U37" s="175">
        <v>32</v>
      </c>
      <c r="V37" s="175">
        <v>115</v>
      </c>
      <c r="W37" s="175">
        <v>62</v>
      </c>
      <c r="X37" s="173">
        <v>1</v>
      </c>
      <c r="Y37" s="467" t="s">
        <v>314</v>
      </c>
      <c r="Z37" s="173" t="s">
        <v>302</v>
      </c>
      <c r="AA37" s="173">
        <v>2970</v>
      </c>
      <c r="AB37" s="175">
        <v>40244</v>
      </c>
      <c r="AC37" s="175">
        <v>1351</v>
      </c>
      <c r="AD37" s="175">
        <v>836</v>
      </c>
      <c r="AE37" s="175">
        <v>2968</v>
      </c>
      <c r="AF37" s="173">
        <v>384</v>
      </c>
      <c r="AG37" s="467" t="s">
        <v>42</v>
      </c>
      <c r="AH37" s="173" t="s">
        <v>302</v>
      </c>
      <c r="AI37" s="1">
        <v>641</v>
      </c>
      <c r="AJ37" s="175">
        <v>13710</v>
      </c>
      <c r="AK37" s="175">
        <v>680</v>
      </c>
      <c r="AL37" s="175">
        <v>2540</v>
      </c>
      <c r="AM37" s="175">
        <v>1360</v>
      </c>
      <c r="AN37" s="173">
        <v>83</v>
      </c>
      <c r="AO37" s="467" t="s">
        <v>315</v>
      </c>
      <c r="AP37" s="173" t="s">
        <v>302</v>
      </c>
      <c r="AQ37" s="173">
        <v>96</v>
      </c>
      <c r="AR37" s="175">
        <v>4619</v>
      </c>
      <c r="AS37" s="175">
        <v>216</v>
      </c>
      <c r="AT37" s="175">
        <v>836</v>
      </c>
      <c r="AU37" s="175">
        <v>458</v>
      </c>
      <c r="AV37" s="173">
        <v>27</v>
      </c>
    </row>
    <row r="38" spans="1:48" x14ac:dyDescent="0.2">
      <c r="A38" s="468"/>
      <c r="B38" s="173" t="s">
        <v>303</v>
      </c>
      <c r="C38" s="173">
        <v>8630</v>
      </c>
      <c r="D38" s="175">
        <v>91113</v>
      </c>
      <c r="E38" s="175">
        <v>2846</v>
      </c>
      <c r="F38" s="175">
        <v>1333</v>
      </c>
      <c r="G38" s="175">
        <v>5811</v>
      </c>
      <c r="H38" s="173">
        <v>486</v>
      </c>
      <c r="I38" s="468"/>
      <c r="J38" s="173" t="s">
        <v>303</v>
      </c>
      <c r="K38" s="173">
        <v>198</v>
      </c>
      <c r="L38" s="175">
        <v>2850</v>
      </c>
      <c r="M38" s="175">
        <v>146</v>
      </c>
      <c r="N38" s="175">
        <v>526</v>
      </c>
      <c r="O38" s="175">
        <v>283</v>
      </c>
      <c r="P38" s="173">
        <v>11</v>
      </c>
      <c r="Q38" s="468"/>
      <c r="R38" s="173" t="s">
        <v>303</v>
      </c>
      <c r="S38" s="173">
        <v>0</v>
      </c>
      <c r="T38" s="175">
        <v>0</v>
      </c>
      <c r="U38" s="175">
        <v>0</v>
      </c>
      <c r="V38" s="175"/>
      <c r="W38" s="175">
        <v>0</v>
      </c>
      <c r="X38" s="173">
        <v>0</v>
      </c>
      <c r="Y38" s="468"/>
      <c r="Z38" s="173" t="s">
        <v>303</v>
      </c>
      <c r="AA38" s="173">
        <v>1775</v>
      </c>
      <c r="AB38" s="175">
        <v>13417</v>
      </c>
      <c r="AC38" s="175">
        <v>516</v>
      </c>
      <c r="AD38" s="175">
        <v>250</v>
      </c>
      <c r="AE38" s="175">
        <v>1039</v>
      </c>
      <c r="AF38" s="173">
        <v>100</v>
      </c>
      <c r="AG38" s="468"/>
      <c r="AH38" s="173" t="s">
        <v>303</v>
      </c>
      <c r="AI38" s="173">
        <v>761</v>
      </c>
      <c r="AJ38" s="175">
        <v>8839</v>
      </c>
      <c r="AK38" s="175">
        <v>436</v>
      </c>
      <c r="AL38" s="175">
        <v>1628</v>
      </c>
      <c r="AM38" s="175">
        <v>872</v>
      </c>
      <c r="AN38" s="173">
        <v>42</v>
      </c>
      <c r="AO38" s="468"/>
      <c r="AP38" s="173" t="s">
        <v>303</v>
      </c>
      <c r="AQ38" s="173">
        <v>19</v>
      </c>
      <c r="AR38" s="175">
        <v>215</v>
      </c>
      <c r="AS38" s="175">
        <v>11</v>
      </c>
      <c r="AT38" s="175">
        <v>40</v>
      </c>
      <c r="AU38" s="175">
        <v>22</v>
      </c>
      <c r="AV38" s="173">
        <v>1</v>
      </c>
    </row>
    <row r="39" spans="1:48" x14ac:dyDescent="0.2">
      <c r="A39" s="468"/>
      <c r="B39" s="173" t="s">
        <v>304</v>
      </c>
      <c r="C39" s="173">
        <v>6481</v>
      </c>
      <c r="D39" s="175">
        <v>67881</v>
      </c>
      <c r="E39" s="175">
        <v>2193</v>
      </c>
      <c r="F39" s="175">
        <v>1015</v>
      </c>
      <c r="G39" s="175">
        <v>4372</v>
      </c>
      <c r="H39" s="173">
        <v>283</v>
      </c>
      <c r="I39" s="468"/>
      <c r="J39" s="173" t="s">
        <v>304</v>
      </c>
      <c r="K39" s="173">
        <v>200</v>
      </c>
      <c r="L39" s="175">
        <v>2558</v>
      </c>
      <c r="M39" s="175">
        <v>130</v>
      </c>
      <c r="N39" s="175">
        <v>473</v>
      </c>
      <c r="O39" s="175">
        <v>255</v>
      </c>
      <c r="P39" s="173">
        <v>9</v>
      </c>
      <c r="Q39" s="468"/>
      <c r="R39" s="173" t="s">
        <v>304</v>
      </c>
      <c r="S39" s="173">
        <v>0</v>
      </c>
      <c r="T39" s="175">
        <v>0</v>
      </c>
      <c r="U39" s="175">
        <v>0</v>
      </c>
      <c r="V39" s="175">
        <v>0</v>
      </c>
      <c r="W39" s="175">
        <v>0</v>
      </c>
      <c r="X39" s="173">
        <v>0</v>
      </c>
      <c r="Y39" s="468"/>
      <c r="Z39" s="173" t="s">
        <v>304</v>
      </c>
      <c r="AA39" s="173">
        <v>1255</v>
      </c>
      <c r="AB39" s="175">
        <v>10030</v>
      </c>
      <c r="AC39" s="175">
        <v>357</v>
      </c>
      <c r="AD39" s="175">
        <v>172</v>
      </c>
      <c r="AE39" s="175">
        <v>724</v>
      </c>
      <c r="AF39" s="173">
        <v>55</v>
      </c>
      <c r="AG39" s="468"/>
      <c r="AH39" s="173" t="s">
        <v>304</v>
      </c>
      <c r="AI39" s="173">
        <v>547</v>
      </c>
      <c r="AJ39" s="175">
        <v>6521</v>
      </c>
      <c r="AK39" s="175">
        <v>300</v>
      </c>
      <c r="AL39" s="175">
        <v>1190</v>
      </c>
      <c r="AM39" s="175">
        <v>589</v>
      </c>
      <c r="AN39" s="173">
        <v>24</v>
      </c>
      <c r="AO39" s="468"/>
      <c r="AP39" s="173" t="s">
        <v>304</v>
      </c>
      <c r="AQ39" s="173">
        <v>44</v>
      </c>
      <c r="AR39" s="175">
        <v>507</v>
      </c>
      <c r="AS39" s="175">
        <v>25</v>
      </c>
      <c r="AT39" s="175">
        <v>93</v>
      </c>
      <c r="AU39" s="175">
        <v>51</v>
      </c>
      <c r="AV39" s="173">
        <v>2</v>
      </c>
    </row>
    <row r="40" spans="1:48" x14ac:dyDescent="0.2">
      <c r="A40" s="468"/>
      <c r="B40" s="173" t="s">
        <v>305</v>
      </c>
      <c r="C40" s="173">
        <v>10733</v>
      </c>
      <c r="D40" s="175">
        <v>112738</v>
      </c>
      <c r="E40" s="175">
        <v>3190</v>
      </c>
      <c r="F40" s="175">
        <v>1504</v>
      </c>
      <c r="G40" s="175">
        <v>6385</v>
      </c>
      <c r="H40" s="173">
        <v>346</v>
      </c>
      <c r="I40" s="468"/>
      <c r="J40" s="173" t="s">
        <v>305</v>
      </c>
      <c r="K40" s="173">
        <v>363</v>
      </c>
      <c r="L40" s="175">
        <v>4445</v>
      </c>
      <c r="M40" s="175">
        <v>205</v>
      </c>
      <c r="N40" s="175">
        <v>808</v>
      </c>
      <c r="O40" s="175">
        <v>407</v>
      </c>
      <c r="P40" s="173">
        <v>11</v>
      </c>
      <c r="Q40" s="468"/>
      <c r="R40" s="173" t="s">
        <v>305</v>
      </c>
      <c r="S40" s="173">
        <v>28</v>
      </c>
      <c r="T40" s="175">
        <v>618</v>
      </c>
      <c r="U40" s="175">
        <v>31</v>
      </c>
      <c r="V40" s="175">
        <v>114</v>
      </c>
      <c r="W40" s="175">
        <v>62</v>
      </c>
      <c r="X40" s="173">
        <v>1</v>
      </c>
      <c r="Y40" s="468"/>
      <c r="Z40" s="173" t="s">
        <v>305</v>
      </c>
      <c r="AA40" s="173">
        <v>2505</v>
      </c>
      <c r="AB40" s="9">
        <v>20144</v>
      </c>
      <c r="AC40" s="9">
        <v>695</v>
      </c>
      <c r="AD40" s="9">
        <v>333</v>
      </c>
      <c r="AE40" s="9">
        <v>1390</v>
      </c>
      <c r="AF40" s="173">
        <v>31</v>
      </c>
      <c r="AG40" s="468"/>
      <c r="AH40" s="173" t="s">
        <v>305</v>
      </c>
      <c r="AI40" s="173">
        <v>949</v>
      </c>
      <c r="AJ40" s="175">
        <v>10623</v>
      </c>
      <c r="AK40" s="175">
        <v>465</v>
      </c>
      <c r="AL40" s="175">
        <v>1927</v>
      </c>
      <c r="AM40" s="175">
        <v>932</v>
      </c>
      <c r="AN40" s="173">
        <v>31</v>
      </c>
      <c r="AO40" s="468"/>
      <c r="AP40" s="173" t="s">
        <v>305</v>
      </c>
      <c r="AQ40" s="173">
        <v>212</v>
      </c>
      <c r="AR40" s="175">
        <v>2071</v>
      </c>
      <c r="AS40" s="175">
        <v>87</v>
      </c>
      <c r="AT40" s="175">
        <v>372</v>
      </c>
      <c r="AU40" s="175">
        <v>174</v>
      </c>
      <c r="AV40" s="173">
        <v>7</v>
      </c>
    </row>
    <row r="41" spans="1:48" x14ac:dyDescent="0.2">
      <c r="A41" s="468"/>
      <c r="B41" s="173" t="s">
        <v>306</v>
      </c>
      <c r="C41" s="173">
        <v>2800</v>
      </c>
      <c r="D41" s="175">
        <v>28987</v>
      </c>
      <c r="E41" s="175">
        <v>936</v>
      </c>
      <c r="F41" s="175">
        <v>446</v>
      </c>
      <c r="G41" s="175">
        <v>1884</v>
      </c>
      <c r="H41" s="173">
        <v>63</v>
      </c>
      <c r="I41" s="468"/>
      <c r="J41" s="173" t="s">
        <v>306</v>
      </c>
      <c r="K41" s="173">
        <v>94</v>
      </c>
      <c r="L41" s="175">
        <v>1182</v>
      </c>
      <c r="M41" s="175">
        <v>60</v>
      </c>
      <c r="N41" s="175">
        <v>218</v>
      </c>
      <c r="O41" s="175">
        <v>118</v>
      </c>
      <c r="P41" s="173">
        <v>2</v>
      </c>
      <c r="Q41" s="468"/>
      <c r="R41" s="173" t="s">
        <v>306</v>
      </c>
      <c r="S41" s="173">
        <v>92</v>
      </c>
      <c r="T41" s="175">
        <v>2152</v>
      </c>
      <c r="U41" s="175">
        <v>107</v>
      </c>
      <c r="V41" s="175">
        <v>396</v>
      </c>
      <c r="W41" s="175">
        <v>215</v>
      </c>
      <c r="X41" s="173">
        <v>2</v>
      </c>
      <c r="Y41" s="468"/>
      <c r="Z41" s="173" t="s">
        <v>306</v>
      </c>
      <c r="AA41" s="173">
        <v>398</v>
      </c>
      <c r="AB41" s="175">
        <v>3867</v>
      </c>
      <c r="AC41" s="175">
        <v>45</v>
      </c>
      <c r="AD41" s="175">
        <v>22</v>
      </c>
      <c r="AE41" s="175">
        <v>92</v>
      </c>
      <c r="AF41" s="173">
        <v>9</v>
      </c>
      <c r="AG41" s="468"/>
      <c r="AH41" s="173" t="s">
        <v>306</v>
      </c>
      <c r="AI41" s="173">
        <v>272</v>
      </c>
      <c r="AJ41" s="175">
        <v>3068</v>
      </c>
      <c r="AK41" s="175">
        <v>154</v>
      </c>
      <c r="AL41" s="175">
        <v>566</v>
      </c>
      <c r="AM41" s="175">
        <v>307</v>
      </c>
      <c r="AN41" s="173">
        <v>6</v>
      </c>
      <c r="AO41" s="468"/>
      <c r="AP41" s="173" t="s">
        <v>306</v>
      </c>
      <c r="AQ41" s="173">
        <v>41</v>
      </c>
      <c r="AR41" s="175">
        <v>165</v>
      </c>
      <c r="AS41" s="175">
        <v>0</v>
      </c>
      <c r="AT41" s="175">
        <v>26</v>
      </c>
      <c r="AU41" s="175">
        <v>0</v>
      </c>
      <c r="AV41" s="173">
        <v>1</v>
      </c>
    </row>
    <row r="42" spans="1:48" x14ac:dyDescent="0.2">
      <c r="A42" s="468"/>
      <c r="B42" s="173" t="s">
        <v>307</v>
      </c>
      <c r="C42" s="173">
        <v>1321</v>
      </c>
      <c r="D42" s="175">
        <v>14427</v>
      </c>
      <c r="E42" s="175">
        <v>364</v>
      </c>
      <c r="F42" s="175">
        <v>178</v>
      </c>
      <c r="G42" s="175">
        <v>729</v>
      </c>
      <c r="H42" s="173">
        <v>24</v>
      </c>
      <c r="I42" s="468"/>
      <c r="J42" s="173" t="s">
        <v>307</v>
      </c>
      <c r="K42" s="173">
        <v>52</v>
      </c>
      <c r="L42" s="175">
        <v>637</v>
      </c>
      <c r="M42" s="175">
        <v>0</v>
      </c>
      <c r="N42" s="175">
        <v>102</v>
      </c>
      <c r="O42" s="175">
        <v>0</v>
      </c>
      <c r="P42" s="173">
        <v>1</v>
      </c>
      <c r="Q42" s="468"/>
      <c r="R42" s="173" t="s">
        <v>307</v>
      </c>
      <c r="S42" s="173">
        <v>106</v>
      </c>
      <c r="T42" s="175">
        <v>2471</v>
      </c>
      <c r="U42" s="175">
        <v>123</v>
      </c>
      <c r="V42" s="175">
        <v>454</v>
      </c>
      <c r="W42" s="175">
        <v>247</v>
      </c>
      <c r="X42" s="173">
        <v>2</v>
      </c>
      <c r="Y42" s="468"/>
      <c r="Z42" s="173" t="s">
        <v>307</v>
      </c>
      <c r="AA42" s="173">
        <v>222</v>
      </c>
      <c r="AB42" s="175">
        <v>2020</v>
      </c>
      <c r="AC42" s="175">
        <v>72</v>
      </c>
      <c r="AD42" s="175">
        <v>33</v>
      </c>
      <c r="AE42" s="175">
        <v>143</v>
      </c>
      <c r="AF42" s="173">
        <v>4</v>
      </c>
      <c r="AG42" s="468"/>
      <c r="AH42" s="173" t="s">
        <v>307</v>
      </c>
      <c r="AI42" s="173">
        <v>168</v>
      </c>
      <c r="AJ42" s="175">
        <v>1981</v>
      </c>
      <c r="AK42" s="175">
        <v>64</v>
      </c>
      <c r="AL42" s="175">
        <v>348</v>
      </c>
      <c r="AM42" s="175">
        <v>129</v>
      </c>
      <c r="AN42" s="173">
        <v>3</v>
      </c>
      <c r="AO42" s="468"/>
      <c r="AP42" s="173" t="s">
        <v>307</v>
      </c>
      <c r="AQ42" s="173">
        <v>113</v>
      </c>
      <c r="AR42" s="175">
        <v>873</v>
      </c>
      <c r="AS42" s="175">
        <v>43</v>
      </c>
      <c r="AT42" s="175">
        <v>160</v>
      </c>
      <c r="AU42" s="175">
        <v>88</v>
      </c>
      <c r="AV42" s="173">
        <v>2</v>
      </c>
    </row>
    <row r="43" spans="1:48" x14ac:dyDescent="0.2">
      <c r="A43" s="469"/>
      <c r="B43" s="173" t="s">
        <v>308</v>
      </c>
      <c r="C43" s="173">
        <v>12264</v>
      </c>
      <c r="D43" s="175">
        <v>23109</v>
      </c>
      <c r="E43" s="175">
        <v>4727</v>
      </c>
      <c r="F43" s="175">
        <v>2050</v>
      </c>
      <c r="G43" s="175">
        <v>9459</v>
      </c>
      <c r="H43" s="173">
        <v>82</v>
      </c>
      <c r="I43" s="469"/>
      <c r="J43" s="173" t="s">
        <v>308</v>
      </c>
      <c r="K43" s="173">
        <v>518</v>
      </c>
      <c r="L43" s="175">
        <v>6633</v>
      </c>
      <c r="M43" s="175">
        <v>118</v>
      </c>
      <c r="N43" s="175">
        <v>1117</v>
      </c>
      <c r="O43" s="175">
        <v>236</v>
      </c>
      <c r="P43" s="173">
        <v>4</v>
      </c>
      <c r="Q43" s="469"/>
      <c r="R43" s="173" t="s">
        <v>308</v>
      </c>
      <c r="S43" s="173">
        <v>965</v>
      </c>
      <c r="T43" s="175">
        <v>18234</v>
      </c>
      <c r="U43" s="175">
        <v>569</v>
      </c>
      <c r="V43" s="175">
        <v>3190</v>
      </c>
      <c r="W43" s="175">
        <v>1137</v>
      </c>
      <c r="X43" s="173">
        <v>7</v>
      </c>
      <c r="Y43" s="469"/>
      <c r="Z43" s="173" t="s">
        <v>308</v>
      </c>
      <c r="AA43" s="173">
        <v>494</v>
      </c>
      <c r="AB43" s="175">
        <v>4310</v>
      </c>
      <c r="AC43" s="175">
        <v>102</v>
      </c>
      <c r="AD43" s="175">
        <v>49</v>
      </c>
      <c r="AE43" s="175">
        <v>204</v>
      </c>
      <c r="AF43" s="173">
        <v>7</v>
      </c>
      <c r="AG43" s="469"/>
      <c r="AH43" s="173" t="s">
        <v>308</v>
      </c>
      <c r="AI43" s="173">
        <v>306</v>
      </c>
      <c r="AJ43" s="175">
        <v>3691</v>
      </c>
      <c r="AK43" s="175">
        <v>49</v>
      </c>
      <c r="AL43" s="175">
        <v>614</v>
      </c>
      <c r="AM43" s="175">
        <v>97</v>
      </c>
      <c r="AN43" s="173">
        <v>3</v>
      </c>
      <c r="AO43" s="469"/>
      <c r="AP43" s="173" t="s">
        <v>308</v>
      </c>
      <c r="AQ43" s="173">
        <v>1205</v>
      </c>
      <c r="AR43" s="175">
        <v>5276</v>
      </c>
      <c r="AS43" s="175">
        <v>492</v>
      </c>
      <c r="AT43" s="175">
        <v>1078</v>
      </c>
      <c r="AU43" s="175">
        <v>992</v>
      </c>
      <c r="AV43" s="173">
        <v>11</v>
      </c>
    </row>
    <row r="44" spans="1:48" x14ac:dyDescent="0.2">
      <c r="C44" s="173">
        <f t="shared" ref="C44:H44" si="21">SUM(C37:C43)</f>
        <v>56325</v>
      </c>
      <c r="D44" s="176">
        <f t="shared" si="21"/>
        <v>611385</v>
      </c>
      <c r="E44" s="176">
        <f t="shared" si="21"/>
        <v>22600</v>
      </c>
      <c r="F44" s="176">
        <f t="shared" si="21"/>
        <v>10096</v>
      </c>
      <c r="G44" s="176">
        <f t="shared" si="21"/>
        <v>45286</v>
      </c>
      <c r="H44" s="173">
        <f t="shared" si="21"/>
        <v>3403</v>
      </c>
      <c r="K44" s="173">
        <f t="shared" ref="K44:P44" si="22">SUM(K37:K43)</f>
        <v>2051</v>
      </c>
      <c r="L44" s="176">
        <f t="shared" si="22"/>
        <v>43044</v>
      </c>
      <c r="M44" s="176">
        <f t="shared" si="22"/>
        <v>1856</v>
      </c>
      <c r="N44" s="176">
        <f t="shared" si="22"/>
        <v>7780</v>
      </c>
      <c r="O44" s="176">
        <f t="shared" si="22"/>
        <v>3560</v>
      </c>
      <c r="P44" s="173">
        <f t="shared" si="22"/>
        <v>162</v>
      </c>
      <c r="S44" s="173">
        <f t="shared" ref="S44:X44" si="23">SUM(S37:S43)</f>
        <v>1191</v>
      </c>
      <c r="T44" s="176">
        <f t="shared" si="23"/>
        <v>24101</v>
      </c>
      <c r="U44" s="176">
        <f t="shared" si="23"/>
        <v>862</v>
      </c>
      <c r="V44" s="176">
        <f t="shared" si="23"/>
        <v>4269</v>
      </c>
      <c r="W44" s="176">
        <f t="shared" si="23"/>
        <v>1723</v>
      </c>
      <c r="X44" s="173">
        <f t="shared" si="23"/>
        <v>13</v>
      </c>
      <c r="AA44" s="173">
        <f t="shared" ref="AA44:AF44" si="24">SUM(AA37:AA43)</f>
        <v>9619</v>
      </c>
      <c r="AB44" s="176">
        <f t="shared" si="24"/>
        <v>94032</v>
      </c>
      <c r="AC44" s="176">
        <f t="shared" si="24"/>
        <v>3138</v>
      </c>
      <c r="AD44" s="176">
        <f t="shared" si="24"/>
        <v>1695</v>
      </c>
      <c r="AE44" s="176">
        <f t="shared" si="24"/>
        <v>6560</v>
      </c>
      <c r="AF44" s="173">
        <f t="shared" si="24"/>
        <v>590</v>
      </c>
      <c r="AI44" s="173">
        <f t="shared" ref="AI44:AN44" si="25">SUM(AI37:AI43)</f>
        <v>3644</v>
      </c>
      <c r="AJ44" s="176">
        <f t="shared" si="25"/>
        <v>48433</v>
      </c>
      <c r="AK44" s="176">
        <f t="shared" si="25"/>
        <v>2148</v>
      </c>
      <c r="AL44" s="176">
        <f t="shared" si="25"/>
        <v>8813</v>
      </c>
      <c r="AM44" s="176">
        <f t="shared" si="25"/>
        <v>4286</v>
      </c>
      <c r="AN44" s="173">
        <f t="shared" si="25"/>
        <v>192</v>
      </c>
      <c r="AQ44" s="173">
        <f t="shared" ref="AQ44:AV44" si="26">SUM(AQ37:AQ43)</f>
        <v>1730</v>
      </c>
      <c r="AR44" s="176">
        <f t="shared" si="26"/>
        <v>13726</v>
      </c>
      <c r="AS44" s="176">
        <f t="shared" si="26"/>
        <v>874</v>
      </c>
      <c r="AT44" s="176">
        <f t="shared" si="26"/>
        <v>2605</v>
      </c>
      <c r="AU44" s="176">
        <f t="shared" si="26"/>
        <v>1785</v>
      </c>
      <c r="AV44" s="173">
        <f t="shared" si="26"/>
        <v>51</v>
      </c>
    </row>
    <row r="47" spans="1:48" ht="22.5" x14ac:dyDescent="0.2">
      <c r="A47" s="174" t="s">
        <v>8</v>
      </c>
      <c r="B47" s="174"/>
      <c r="C47" s="174" t="s">
        <v>313</v>
      </c>
      <c r="D47" s="174" t="s">
        <v>309</v>
      </c>
      <c r="E47" s="174" t="s">
        <v>238</v>
      </c>
      <c r="F47" s="174" t="s">
        <v>311</v>
      </c>
      <c r="G47" s="174" t="s">
        <v>310</v>
      </c>
      <c r="H47" s="174" t="s">
        <v>312</v>
      </c>
      <c r="I47" s="174"/>
      <c r="J47" s="174"/>
      <c r="K47" s="174" t="s">
        <v>313</v>
      </c>
      <c r="L47" s="174" t="s">
        <v>309</v>
      </c>
      <c r="M47" s="174" t="s">
        <v>238</v>
      </c>
      <c r="N47" s="174" t="s">
        <v>311</v>
      </c>
      <c r="O47" s="174" t="s">
        <v>310</v>
      </c>
      <c r="P47" s="174" t="s">
        <v>312</v>
      </c>
      <c r="Q47" s="174"/>
      <c r="R47" s="174"/>
      <c r="S47" s="174" t="s">
        <v>313</v>
      </c>
      <c r="T47" s="174" t="s">
        <v>309</v>
      </c>
      <c r="U47" s="174" t="s">
        <v>238</v>
      </c>
      <c r="V47" s="174" t="s">
        <v>311</v>
      </c>
      <c r="W47" s="174" t="s">
        <v>310</v>
      </c>
      <c r="X47" s="174" t="s">
        <v>312</v>
      </c>
      <c r="Y47" s="174"/>
      <c r="Z47" s="174"/>
      <c r="AA47" s="174" t="s">
        <v>313</v>
      </c>
      <c r="AB47" s="174" t="s">
        <v>309</v>
      </c>
      <c r="AC47" s="174" t="s">
        <v>238</v>
      </c>
      <c r="AD47" s="174" t="s">
        <v>311</v>
      </c>
      <c r="AE47" s="174" t="s">
        <v>310</v>
      </c>
      <c r="AF47" s="174" t="s">
        <v>312</v>
      </c>
      <c r="AG47" s="174"/>
      <c r="AH47" s="174"/>
      <c r="AI47" s="174" t="s">
        <v>313</v>
      </c>
      <c r="AJ47" s="174" t="s">
        <v>309</v>
      </c>
      <c r="AK47" s="174" t="s">
        <v>238</v>
      </c>
      <c r="AL47" s="174" t="s">
        <v>311</v>
      </c>
      <c r="AM47" s="174" t="s">
        <v>310</v>
      </c>
      <c r="AN47" s="174" t="s">
        <v>312</v>
      </c>
      <c r="AO47" s="174"/>
      <c r="AP47" s="174"/>
      <c r="AQ47" s="174" t="s">
        <v>313</v>
      </c>
      <c r="AR47" s="174" t="s">
        <v>309</v>
      </c>
      <c r="AS47" s="174" t="s">
        <v>238</v>
      </c>
      <c r="AT47" s="174" t="s">
        <v>310</v>
      </c>
      <c r="AU47" s="174" t="s">
        <v>311</v>
      </c>
      <c r="AV47" s="174" t="s">
        <v>312</v>
      </c>
    </row>
    <row r="48" spans="1:48" x14ac:dyDescent="0.2">
      <c r="A48" s="467" t="s">
        <v>39</v>
      </c>
      <c r="B48" s="173" t="s">
        <v>302</v>
      </c>
      <c r="C48" s="173">
        <v>13816</v>
      </c>
      <c r="D48" s="175">
        <v>268567</v>
      </c>
      <c r="E48" s="175">
        <v>8369</v>
      </c>
      <c r="F48" s="175">
        <v>3573</v>
      </c>
      <c r="G48" s="175">
        <v>16691</v>
      </c>
      <c r="H48" s="173">
        <v>2109</v>
      </c>
      <c r="I48" s="467" t="s">
        <v>40</v>
      </c>
      <c r="J48" s="173" t="s">
        <v>302</v>
      </c>
      <c r="K48" s="173">
        <v>571</v>
      </c>
      <c r="L48" s="175">
        <v>21555</v>
      </c>
      <c r="M48" s="175">
        <v>1071</v>
      </c>
      <c r="N48" s="175">
        <v>3948</v>
      </c>
      <c r="O48" s="175">
        <v>2023</v>
      </c>
      <c r="P48" s="173">
        <v>116</v>
      </c>
      <c r="Q48" s="467" t="s">
        <v>41</v>
      </c>
      <c r="R48" s="173" t="s">
        <v>302</v>
      </c>
      <c r="S48" s="173">
        <v>0</v>
      </c>
      <c r="T48" s="175">
        <v>0</v>
      </c>
      <c r="U48" s="175">
        <v>0</v>
      </c>
      <c r="V48" s="175">
        <v>0</v>
      </c>
      <c r="W48" s="175">
        <v>0</v>
      </c>
      <c r="X48" s="173">
        <v>0</v>
      </c>
      <c r="Y48" s="467" t="s">
        <v>314</v>
      </c>
      <c r="Z48" s="173" t="s">
        <v>302</v>
      </c>
      <c r="AA48" s="173">
        <v>2523</v>
      </c>
      <c r="AB48" s="175">
        <v>35280</v>
      </c>
      <c r="AC48" s="175">
        <v>1250</v>
      </c>
      <c r="AD48" s="175">
        <v>750</v>
      </c>
      <c r="AE48" s="175">
        <v>2750</v>
      </c>
      <c r="AF48" s="173">
        <v>320</v>
      </c>
      <c r="AG48" s="467" t="s">
        <v>42</v>
      </c>
      <c r="AH48" s="173" t="s">
        <v>302</v>
      </c>
      <c r="AI48" s="173">
        <v>702</v>
      </c>
      <c r="AJ48" s="175">
        <v>15525</v>
      </c>
      <c r="AK48" s="175">
        <v>760</v>
      </c>
      <c r="AL48" s="175">
        <v>2855</v>
      </c>
      <c r="AM48" s="175">
        <v>1520</v>
      </c>
      <c r="AN48" s="173">
        <v>90</v>
      </c>
      <c r="AO48" s="467" t="s">
        <v>315</v>
      </c>
      <c r="AP48" s="173" t="s">
        <v>302</v>
      </c>
      <c r="AQ48" s="173">
        <v>91</v>
      </c>
      <c r="AR48" s="175">
        <v>4125</v>
      </c>
      <c r="AS48" s="175">
        <v>192</v>
      </c>
      <c r="AT48" s="175">
        <v>746</v>
      </c>
      <c r="AU48" s="175">
        <v>408</v>
      </c>
      <c r="AV48" s="173">
        <v>25</v>
      </c>
    </row>
    <row r="49" spans="1:48" x14ac:dyDescent="0.2">
      <c r="A49" s="468"/>
      <c r="B49" s="173" t="s">
        <v>303</v>
      </c>
      <c r="C49" s="173">
        <v>8608</v>
      </c>
      <c r="D49" s="175">
        <v>90344</v>
      </c>
      <c r="E49" s="175">
        <v>2669</v>
      </c>
      <c r="F49" s="175">
        <v>1258</v>
      </c>
      <c r="G49" s="175">
        <v>5452</v>
      </c>
      <c r="H49" s="173">
        <v>484</v>
      </c>
      <c r="I49" s="468"/>
      <c r="J49" s="173" t="s">
        <v>303</v>
      </c>
      <c r="K49" s="173">
        <v>163</v>
      </c>
      <c r="L49" s="175">
        <v>2216</v>
      </c>
      <c r="M49" s="175">
        <v>90</v>
      </c>
      <c r="N49" s="175">
        <v>399</v>
      </c>
      <c r="O49" s="175">
        <v>177</v>
      </c>
      <c r="P49" s="173">
        <v>18</v>
      </c>
      <c r="Q49" s="468"/>
      <c r="R49" s="173" t="s">
        <v>303</v>
      </c>
      <c r="S49" s="173">
        <v>0</v>
      </c>
      <c r="T49" s="175">
        <v>0</v>
      </c>
      <c r="U49" s="175"/>
      <c r="V49" s="175">
        <v>0</v>
      </c>
      <c r="W49" s="175">
        <v>0</v>
      </c>
      <c r="X49" s="173">
        <v>0</v>
      </c>
      <c r="Y49" s="468"/>
      <c r="Z49" s="173" t="s">
        <v>303</v>
      </c>
      <c r="AA49" s="173">
        <v>2341</v>
      </c>
      <c r="AB49" s="175">
        <v>18061</v>
      </c>
      <c r="AC49" s="175">
        <v>609</v>
      </c>
      <c r="AD49" s="175">
        <v>300</v>
      </c>
      <c r="AE49" s="175">
        <v>1246</v>
      </c>
      <c r="AF49" s="173">
        <v>130</v>
      </c>
      <c r="AG49" s="468"/>
      <c r="AH49" s="173" t="s">
        <v>303</v>
      </c>
      <c r="AI49" s="173">
        <v>720</v>
      </c>
      <c r="AJ49" s="175">
        <v>8508</v>
      </c>
      <c r="AK49" s="175">
        <v>417</v>
      </c>
      <c r="AL49" s="175">
        <v>1561</v>
      </c>
      <c r="AM49" s="175">
        <v>840</v>
      </c>
      <c r="AN49" s="173">
        <v>40</v>
      </c>
      <c r="AO49" s="468"/>
      <c r="AP49" s="173" t="s">
        <v>303</v>
      </c>
      <c r="AQ49" s="173">
        <v>55</v>
      </c>
      <c r="AR49" s="175">
        <v>727</v>
      </c>
      <c r="AS49" s="175">
        <v>20</v>
      </c>
      <c r="AT49" s="175">
        <v>125</v>
      </c>
      <c r="AU49" s="175">
        <v>39</v>
      </c>
      <c r="AV49" s="173">
        <v>3</v>
      </c>
    </row>
    <row r="50" spans="1:48" x14ac:dyDescent="0.2">
      <c r="A50" s="468"/>
      <c r="B50" s="173" t="s">
        <v>304</v>
      </c>
      <c r="C50" s="173">
        <v>7243</v>
      </c>
      <c r="D50" s="175">
        <v>75774</v>
      </c>
      <c r="E50" s="175">
        <v>2348</v>
      </c>
      <c r="F50" s="175">
        <v>1084</v>
      </c>
      <c r="G50" s="175">
        <v>4621</v>
      </c>
      <c r="H50" s="173">
        <v>317</v>
      </c>
      <c r="I50" s="468"/>
      <c r="J50" s="173" t="s">
        <v>304</v>
      </c>
      <c r="K50" s="173">
        <v>111</v>
      </c>
      <c r="L50" s="175">
        <v>1344</v>
      </c>
      <c r="M50" s="175">
        <v>67</v>
      </c>
      <c r="N50" s="175">
        <v>247</v>
      </c>
      <c r="O50" s="175">
        <v>135</v>
      </c>
      <c r="P50" s="173">
        <v>5</v>
      </c>
      <c r="Q50" s="468"/>
      <c r="R50" s="173" t="s">
        <v>304</v>
      </c>
      <c r="S50" s="173">
        <v>22</v>
      </c>
      <c r="T50" s="175">
        <v>485</v>
      </c>
      <c r="U50" s="175">
        <v>24</v>
      </c>
      <c r="V50" s="175">
        <v>89</v>
      </c>
      <c r="W50" s="175">
        <v>49</v>
      </c>
      <c r="X50" s="173">
        <v>1</v>
      </c>
      <c r="Y50" s="468"/>
      <c r="Z50" s="173" t="s">
        <v>304</v>
      </c>
      <c r="AA50" s="173">
        <v>1479</v>
      </c>
      <c r="AB50" s="175">
        <v>11722</v>
      </c>
      <c r="AC50" s="175">
        <v>438</v>
      </c>
      <c r="AD50" s="175">
        <v>209</v>
      </c>
      <c r="AE50" s="175">
        <v>889</v>
      </c>
      <c r="AF50" s="173">
        <v>65</v>
      </c>
      <c r="AG50" s="468"/>
      <c r="AH50" s="173" t="s">
        <v>304</v>
      </c>
      <c r="AI50" s="173">
        <v>475</v>
      </c>
      <c r="AJ50" s="175">
        <v>5406</v>
      </c>
      <c r="AK50" s="175">
        <v>273</v>
      </c>
      <c r="AL50" s="175">
        <v>1000</v>
      </c>
      <c r="AM50" s="175">
        <v>539</v>
      </c>
      <c r="AN50" s="173">
        <v>21</v>
      </c>
      <c r="AO50" s="468"/>
      <c r="AP50" s="173" t="s">
        <v>304</v>
      </c>
      <c r="AQ50" s="173">
        <v>44</v>
      </c>
      <c r="AR50" s="175">
        <v>408</v>
      </c>
      <c r="AS50" s="175">
        <v>8</v>
      </c>
      <c r="AT50" s="175">
        <v>69</v>
      </c>
      <c r="AU50" s="175">
        <v>17</v>
      </c>
      <c r="AV50" s="173">
        <v>2</v>
      </c>
    </row>
    <row r="51" spans="1:48" x14ac:dyDescent="0.2">
      <c r="A51" s="468"/>
      <c r="B51" s="173" t="s">
        <v>305</v>
      </c>
      <c r="C51" s="173">
        <v>12862</v>
      </c>
      <c r="D51" s="175">
        <v>137694</v>
      </c>
      <c r="E51" s="175">
        <v>3706</v>
      </c>
      <c r="F51" s="175">
        <v>1748</v>
      </c>
      <c r="G51" s="175">
        <v>7419</v>
      </c>
      <c r="H51" s="173">
        <v>405</v>
      </c>
      <c r="I51" s="468"/>
      <c r="J51" s="173" t="s">
        <v>305</v>
      </c>
      <c r="K51" s="173">
        <v>259</v>
      </c>
      <c r="L51" s="175">
        <v>3267</v>
      </c>
      <c r="M51" s="175">
        <v>148</v>
      </c>
      <c r="N51" s="175">
        <v>594</v>
      </c>
      <c r="O51" s="175">
        <v>293</v>
      </c>
      <c r="P51" s="173">
        <v>8</v>
      </c>
      <c r="Q51" s="468"/>
      <c r="R51" s="173" t="s">
        <v>305</v>
      </c>
      <c r="S51" s="173">
        <v>88</v>
      </c>
      <c r="T51" s="175">
        <v>1948</v>
      </c>
      <c r="U51" s="175">
        <v>32</v>
      </c>
      <c r="V51" s="175">
        <v>327</v>
      </c>
      <c r="W51" s="175">
        <v>64</v>
      </c>
      <c r="X51" s="173">
        <v>3</v>
      </c>
      <c r="Y51" s="468"/>
      <c r="Z51" s="173" t="s">
        <v>305</v>
      </c>
      <c r="AA51" s="173">
        <v>2735</v>
      </c>
      <c r="AB51" s="9">
        <v>21647</v>
      </c>
      <c r="AC51" s="9">
        <v>669</v>
      </c>
      <c r="AD51" s="9">
        <v>324</v>
      </c>
      <c r="AE51" s="9">
        <v>1354</v>
      </c>
      <c r="AF51" s="173">
        <v>89</v>
      </c>
      <c r="AG51" s="468"/>
      <c r="AH51" s="173" t="s">
        <v>305</v>
      </c>
      <c r="AI51" s="173">
        <v>850</v>
      </c>
      <c r="AJ51" s="175">
        <v>9670</v>
      </c>
      <c r="AK51" s="175">
        <v>389</v>
      </c>
      <c r="AL51" s="175">
        <v>1734</v>
      </c>
      <c r="AM51" s="175">
        <v>781</v>
      </c>
      <c r="AN51" s="173">
        <v>28</v>
      </c>
      <c r="AO51" s="468"/>
      <c r="AP51" s="173" t="s">
        <v>305</v>
      </c>
      <c r="AQ51" s="173">
        <v>89</v>
      </c>
      <c r="AR51" s="175">
        <v>707</v>
      </c>
      <c r="AS51" s="175">
        <v>51</v>
      </c>
      <c r="AT51" s="175">
        <v>138</v>
      </c>
      <c r="AU51" s="175">
        <v>105</v>
      </c>
      <c r="AV51" s="173">
        <v>3</v>
      </c>
    </row>
    <row r="52" spans="1:48" x14ac:dyDescent="0.2">
      <c r="A52" s="468"/>
      <c r="B52" s="173" t="s">
        <v>306</v>
      </c>
      <c r="C52" s="173">
        <v>4018</v>
      </c>
      <c r="D52" s="175">
        <v>42719</v>
      </c>
      <c r="E52" s="175">
        <v>1094</v>
      </c>
      <c r="F52" s="175">
        <v>525</v>
      </c>
      <c r="G52" s="175">
        <v>2177</v>
      </c>
      <c r="H52" s="173">
        <v>90</v>
      </c>
      <c r="I52" s="468"/>
      <c r="J52" s="173" t="s">
        <v>306</v>
      </c>
      <c r="K52" s="173">
        <v>49</v>
      </c>
      <c r="L52" s="175">
        <v>620</v>
      </c>
      <c r="M52" s="175">
        <v>31</v>
      </c>
      <c r="N52" s="175">
        <v>114</v>
      </c>
      <c r="O52" s="175">
        <v>62</v>
      </c>
      <c r="P52" s="173">
        <v>1</v>
      </c>
      <c r="Q52" s="468"/>
      <c r="R52" s="173" t="s">
        <v>306</v>
      </c>
      <c r="S52" s="173">
        <v>41</v>
      </c>
      <c r="T52" s="175">
        <v>1011</v>
      </c>
      <c r="U52" s="175">
        <v>51</v>
      </c>
      <c r="V52" s="175">
        <v>186</v>
      </c>
      <c r="W52" s="175">
        <v>101</v>
      </c>
      <c r="X52" s="173">
        <v>1</v>
      </c>
      <c r="Y52" s="468"/>
      <c r="Z52" s="173" t="s">
        <v>306</v>
      </c>
      <c r="AA52" s="173">
        <v>795</v>
      </c>
      <c r="AB52" s="175">
        <v>7329</v>
      </c>
      <c r="AC52" s="175">
        <v>159</v>
      </c>
      <c r="AD52" s="175">
        <v>76</v>
      </c>
      <c r="AE52" s="175">
        <v>320</v>
      </c>
      <c r="AF52" s="173">
        <v>18</v>
      </c>
      <c r="AG52" s="468"/>
      <c r="AH52" s="173" t="s">
        <v>306</v>
      </c>
      <c r="AI52" s="173">
        <v>181</v>
      </c>
      <c r="AJ52" s="175">
        <v>1490</v>
      </c>
      <c r="AK52" s="175">
        <v>75</v>
      </c>
      <c r="AL52" s="175">
        <v>275</v>
      </c>
      <c r="AM52" s="175">
        <v>150</v>
      </c>
      <c r="AN52" s="173">
        <v>4</v>
      </c>
      <c r="AO52" s="468"/>
      <c r="AP52" s="173" t="s">
        <v>306</v>
      </c>
      <c r="AQ52" s="173">
        <v>94</v>
      </c>
      <c r="AR52" s="175">
        <v>1158</v>
      </c>
      <c r="AS52" s="175">
        <v>58</v>
      </c>
      <c r="AT52" s="175">
        <v>213</v>
      </c>
      <c r="AU52" s="175">
        <v>116</v>
      </c>
      <c r="AV52" s="173">
        <v>2</v>
      </c>
    </row>
    <row r="53" spans="1:48" x14ac:dyDescent="0.2">
      <c r="A53" s="468"/>
      <c r="B53" s="173" t="s">
        <v>307</v>
      </c>
      <c r="C53" s="173">
        <v>1377</v>
      </c>
      <c r="D53" s="175">
        <v>15021</v>
      </c>
      <c r="E53" s="175">
        <v>351</v>
      </c>
      <c r="F53" s="175">
        <v>169</v>
      </c>
      <c r="G53" s="175">
        <v>705</v>
      </c>
      <c r="H53" s="173">
        <v>25</v>
      </c>
      <c r="I53" s="468"/>
      <c r="J53" s="173" t="s">
        <v>307</v>
      </c>
      <c r="K53" s="173">
        <v>213</v>
      </c>
      <c r="L53" s="175">
        <v>2221</v>
      </c>
      <c r="M53" s="175">
        <v>112</v>
      </c>
      <c r="N53" s="175">
        <v>408</v>
      </c>
      <c r="O53" s="175">
        <v>221</v>
      </c>
      <c r="P53" s="173">
        <v>4</v>
      </c>
      <c r="Q53" s="468"/>
      <c r="R53" s="173" t="s">
        <v>307</v>
      </c>
      <c r="S53" s="173">
        <v>60</v>
      </c>
      <c r="T53" s="175">
        <v>1490</v>
      </c>
      <c r="U53" s="175">
        <v>75</v>
      </c>
      <c r="V53" s="175">
        <v>274</v>
      </c>
      <c r="W53" s="175">
        <v>149</v>
      </c>
      <c r="X53" s="173">
        <v>1</v>
      </c>
      <c r="Y53" s="468"/>
      <c r="Z53" s="173" t="s">
        <v>307</v>
      </c>
      <c r="AA53" s="173">
        <v>550</v>
      </c>
      <c r="AB53" s="175">
        <v>4990</v>
      </c>
      <c r="AC53" s="175">
        <v>105</v>
      </c>
      <c r="AD53" s="175">
        <v>50</v>
      </c>
      <c r="AE53" s="175">
        <v>209</v>
      </c>
      <c r="AF53" s="173">
        <v>10</v>
      </c>
      <c r="AG53" s="468"/>
      <c r="AH53" s="173" t="s">
        <v>307</v>
      </c>
      <c r="AI53" s="173">
        <v>103</v>
      </c>
      <c r="AJ53" s="175">
        <v>1151</v>
      </c>
      <c r="AK53" s="175">
        <v>58</v>
      </c>
      <c r="AL53" s="175">
        <v>212</v>
      </c>
      <c r="AM53" s="175">
        <v>117</v>
      </c>
      <c r="AN53" s="173">
        <v>2</v>
      </c>
      <c r="AO53" s="468"/>
      <c r="AP53" s="173" t="s">
        <v>307</v>
      </c>
      <c r="AQ53" s="173">
        <v>167</v>
      </c>
      <c r="AR53" s="175">
        <v>2086</v>
      </c>
      <c r="AS53" s="175">
        <v>105</v>
      </c>
      <c r="AT53" s="175">
        <v>384</v>
      </c>
      <c r="AU53" s="175">
        <v>209</v>
      </c>
      <c r="AV53" s="173">
        <v>3</v>
      </c>
    </row>
    <row r="54" spans="1:48" x14ac:dyDescent="0.2">
      <c r="A54" s="469"/>
      <c r="B54" s="173" t="s">
        <v>308</v>
      </c>
      <c r="C54" s="173">
        <v>3560</v>
      </c>
      <c r="D54" s="175">
        <v>31994</v>
      </c>
      <c r="E54" s="175">
        <v>918</v>
      </c>
      <c r="F54" s="175">
        <v>424</v>
      </c>
      <c r="G54" s="175">
        <v>1835</v>
      </c>
      <c r="H54" s="173">
        <v>42</v>
      </c>
      <c r="I54" s="469"/>
      <c r="J54" s="173" t="s">
        <v>308</v>
      </c>
      <c r="K54" s="173">
        <v>792</v>
      </c>
      <c r="L54" s="175">
        <v>10150</v>
      </c>
      <c r="M54" s="175">
        <v>377</v>
      </c>
      <c r="N54" s="175">
        <v>1804</v>
      </c>
      <c r="O54" s="175">
        <v>751</v>
      </c>
      <c r="P54" s="173">
        <v>6</v>
      </c>
      <c r="Q54" s="469"/>
      <c r="R54" s="173" t="s">
        <v>308</v>
      </c>
      <c r="S54" s="173">
        <v>629</v>
      </c>
      <c r="T54" s="175">
        <v>16607</v>
      </c>
      <c r="U54" s="175">
        <v>477</v>
      </c>
      <c r="V54" s="175">
        <v>2886</v>
      </c>
      <c r="W54" s="175">
        <v>953</v>
      </c>
      <c r="X54" s="173">
        <v>5</v>
      </c>
      <c r="Y54" s="469"/>
      <c r="Z54" s="173" t="s">
        <v>308</v>
      </c>
      <c r="AA54" s="173">
        <v>661</v>
      </c>
      <c r="AB54" s="175">
        <v>6431</v>
      </c>
      <c r="AC54" s="175">
        <v>116</v>
      </c>
      <c r="AD54" s="175">
        <v>56</v>
      </c>
      <c r="AE54" s="175">
        <v>234</v>
      </c>
      <c r="AF54" s="173">
        <v>9</v>
      </c>
      <c r="AG54" s="469"/>
      <c r="AH54" s="173" t="s">
        <v>308</v>
      </c>
      <c r="AI54" s="173">
        <v>398</v>
      </c>
      <c r="AJ54" s="175">
        <v>4814</v>
      </c>
      <c r="AK54" s="175">
        <v>79</v>
      </c>
      <c r="AL54" s="175">
        <v>808</v>
      </c>
      <c r="AM54" s="175">
        <v>158</v>
      </c>
      <c r="AN54" s="173">
        <v>4</v>
      </c>
      <c r="AO54" s="469"/>
      <c r="AP54" s="173" t="s">
        <v>308</v>
      </c>
      <c r="AQ54" s="173">
        <v>424</v>
      </c>
      <c r="AR54" s="175">
        <v>3246</v>
      </c>
      <c r="AS54" s="175">
        <v>122</v>
      </c>
      <c r="AT54" s="175">
        <v>577</v>
      </c>
      <c r="AU54" s="175">
        <v>246</v>
      </c>
      <c r="AV54" s="173">
        <v>5</v>
      </c>
    </row>
    <row r="55" spans="1:48" x14ac:dyDescent="0.2">
      <c r="C55" s="173">
        <f t="shared" ref="C55:H55" si="27">SUM(C48:C54)</f>
        <v>51484</v>
      </c>
      <c r="D55" s="176">
        <f t="shared" si="27"/>
        <v>662113</v>
      </c>
      <c r="E55" s="176">
        <f t="shared" si="27"/>
        <v>19455</v>
      </c>
      <c r="F55" s="176">
        <f t="shared" si="27"/>
        <v>8781</v>
      </c>
      <c r="G55" s="176">
        <f t="shared" si="27"/>
        <v>38900</v>
      </c>
      <c r="H55" s="173">
        <f t="shared" si="27"/>
        <v>3472</v>
      </c>
      <c r="K55" s="173">
        <f t="shared" ref="K55:P55" si="28">SUM(K48:K54)</f>
        <v>2158</v>
      </c>
      <c r="L55" s="176">
        <f t="shared" si="28"/>
        <v>41373</v>
      </c>
      <c r="M55" s="176">
        <f t="shared" si="28"/>
        <v>1896</v>
      </c>
      <c r="N55" s="176">
        <f t="shared" si="28"/>
        <v>7514</v>
      </c>
      <c r="O55" s="176">
        <f t="shared" si="28"/>
        <v>3662</v>
      </c>
      <c r="P55" s="173">
        <f t="shared" si="28"/>
        <v>158</v>
      </c>
      <c r="S55" s="173">
        <f t="shared" ref="S55:X55" si="29">SUM(S48:S54)</f>
        <v>840</v>
      </c>
      <c r="T55" s="176">
        <f t="shared" si="29"/>
        <v>21541</v>
      </c>
      <c r="U55" s="176">
        <f t="shared" si="29"/>
        <v>659</v>
      </c>
      <c r="V55" s="176">
        <f t="shared" si="29"/>
        <v>3762</v>
      </c>
      <c r="W55" s="176">
        <f t="shared" si="29"/>
        <v>1316</v>
      </c>
      <c r="X55" s="173">
        <f t="shared" si="29"/>
        <v>11</v>
      </c>
      <c r="AA55" s="173">
        <f t="shared" ref="AA55:AF55" si="30">SUM(AA48:AA54)</f>
        <v>11084</v>
      </c>
      <c r="AB55" s="176">
        <f t="shared" si="30"/>
        <v>105460</v>
      </c>
      <c r="AC55" s="176">
        <f t="shared" si="30"/>
        <v>3346</v>
      </c>
      <c r="AD55" s="176">
        <f t="shared" si="30"/>
        <v>1765</v>
      </c>
      <c r="AE55" s="176">
        <f t="shared" si="30"/>
        <v>7002</v>
      </c>
      <c r="AF55" s="173">
        <f t="shared" si="30"/>
        <v>641</v>
      </c>
      <c r="AI55" s="173">
        <f t="shared" ref="AI55:AN55" si="31">SUM(AI48:AI54)</f>
        <v>3429</v>
      </c>
      <c r="AJ55" s="176">
        <f t="shared" si="31"/>
        <v>46564</v>
      </c>
      <c r="AK55" s="176">
        <f t="shared" si="31"/>
        <v>2051</v>
      </c>
      <c r="AL55" s="176">
        <f t="shared" si="31"/>
        <v>8445</v>
      </c>
      <c r="AM55" s="176">
        <f t="shared" si="31"/>
        <v>4105</v>
      </c>
      <c r="AN55" s="173">
        <f t="shared" si="31"/>
        <v>189</v>
      </c>
      <c r="AQ55" s="173">
        <f t="shared" ref="AQ55:AV55" si="32">SUM(AQ48:AQ54)</f>
        <v>964</v>
      </c>
      <c r="AR55" s="176">
        <f t="shared" si="32"/>
        <v>12457</v>
      </c>
      <c r="AS55" s="176">
        <f t="shared" si="32"/>
        <v>556</v>
      </c>
      <c r="AT55" s="176">
        <f t="shared" si="32"/>
        <v>2252</v>
      </c>
      <c r="AU55" s="176">
        <f t="shared" si="32"/>
        <v>1140</v>
      </c>
      <c r="AV55" s="173">
        <f t="shared" si="32"/>
        <v>43</v>
      </c>
    </row>
    <row r="58" spans="1:48" ht="22.5" x14ac:dyDescent="0.2">
      <c r="A58" s="174" t="s">
        <v>9</v>
      </c>
      <c r="B58" s="174"/>
      <c r="C58" s="174" t="s">
        <v>313</v>
      </c>
      <c r="D58" s="174" t="s">
        <v>309</v>
      </c>
      <c r="E58" s="174" t="s">
        <v>238</v>
      </c>
      <c r="F58" s="174" t="s">
        <v>311</v>
      </c>
      <c r="G58" s="174" t="s">
        <v>310</v>
      </c>
      <c r="H58" s="174" t="s">
        <v>312</v>
      </c>
      <c r="I58" s="174"/>
      <c r="J58" s="174"/>
      <c r="K58" s="174" t="s">
        <v>313</v>
      </c>
      <c r="L58" s="174" t="s">
        <v>309</v>
      </c>
      <c r="M58" s="174" t="s">
        <v>238</v>
      </c>
      <c r="N58" s="174" t="s">
        <v>311</v>
      </c>
      <c r="O58" s="174" t="s">
        <v>310</v>
      </c>
      <c r="P58" s="174" t="s">
        <v>312</v>
      </c>
      <c r="Q58" s="174"/>
      <c r="R58" s="174"/>
      <c r="S58" s="174" t="s">
        <v>313</v>
      </c>
      <c r="T58" s="174" t="s">
        <v>309</v>
      </c>
      <c r="U58" s="174" t="s">
        <v>238</v>
      </c>
      <c r="V58" s="174" t="s">
        <v>311</v>
      </c>
      <c r="W58" s="174" t="s">
        <v>310</v>
      </c>
      <c r="X58" s="174" t="s">
        <v>312</v>
      </c>
      <c r="Y58" s="174"/>
      <c r="Z58" s="174"/>
      <c r="AA58" s="174" t="s">
        <v>313</v>
      </c>
      <c r="AB58" s="174" t="s">
        <v>309</v>
      </c>
      <c r="AC58" s="174" t="s">
        <v>238</v>
      </c>
      <c r="AD58" s="174" t="s">
        <v>311</v>
      </c>
      <c r="AE58" s="174" t="s">
        <v>310</v>
      </c>
      <c r="AF58" s="174" t="s">
        <v>312</v>
      </c>
      <c r="AG58" s="174"/>
      <c r="AH58" s="174"/>
      <c r="AI58" s="174" t="s">
        <v>313</v>
      </c>
      <c r="AJ58" s="174" t="s">
        <v>309</v>
      </c>
      <c r="AK58" s="174" t="s">
        <v>238</v>
      </c>
      <c r="AL58" s="174" t="s">
        <v>311</v>
      </c>
      <c r="AM58" s="174" t="s">
        <v>310</v>
      </c>
      <c r="AN58" s="174" t="s">
        <v>312</v>
      </c>
      <c r="AO58" s="174"/>
      <c r="AP58" s="174"/>
      <c r="AQ58" s="174" t="s">
        <v>313</v>
      </c>
      <c r="AR58" s="174" t="s">
        <v>309</v>
      </c>
      <c r="AS58" s="174" t="s">
        <v>238</v>
      </c>
      <c r="AT58" s="174" t="s">
        <v>310</v>
      </c>
      <c r="AU58" s="174" t="s">
        <v>311</v>
      </c>
      <c r="AV58" s="174" t="s">
        <v>312</v>
      </c>
    </row>
    <row r="59" spans="1:48" x14ac:dyDescent="0.2">
      <c r="A59" s="467" t="s">
        <v>39</v>
      </c>
      <c r="B59" s="173" t="s">
        <v>302</v>
      </c>
      <c r="C59" s="173">
        <v>12382</v>
      </c>
      <c r="D59" s="175">
        <v>226906</v>
      </c>
      <c r="E59" s="175">
        <v>6848</v>
      </c>
      <c r="F59" s="175">
        <v>2934</v>
      </c>
      <c r="G59" s="175">
        <v>13684</v>
      </c>
      <c r="H59" s="173">
        <v>1557</v>
      </c>
      <c r="I59" s="467" t="s">
        <v>40</v>
      </c>
      <c r="J59" s="173" t="s">
        <v>302</v>
      </c>
      <c r="K59" s="173">
        <v>541</v>
      </c>
      <c r="L59" s="175">
        <v>20051</v>
      </c>
      <c r="M59" s="175">
        <v>968</v>
      </c>
      <c r="N59" s="175">
        <v>3642</v>
      </c>
      <c r="O59" s="175">
        <v>1885</v>
      </c>
      <c r="P59" s="173">
        <v>100</v>
      </c>
      <c r="Q59" s="467" t="s">
        <v>41</v>
      </c>
      <c r="R59" s="173" t="s">
        <v>302</v>
      </c>
      <c r="S59" s="173">
        <v>12</v>
      </c>
      <c r="T59" s="175">
        <v>632</v>
      </c>
      <c r="U59" s="175">
        <v>32</v>
      </c>
      <c r="V59" s="175">
        <v>116</v>
      </c>
      <c r="W59" s="175">
        <v>64</v>
      </c>
      <c r="X59" s="173">
        <v>1</v>
      </c>
      <c r="Y59" s="467" t="s">
        <v>314</v>
      </c>
      <c r="Z59" s="173" t="s">
        <v>302</v>
      </c>
      <c r="AA59" s="1">
        <v>2265</v>
      </c>
      <c r="AB59" s="175">
        <v>29820</v>
      </c>
      <c r="AC59" s="175">
        <v>1020</v>
      </c>
      <c r="AD59" s="175">
        <v>612</v>
      </c>
      <c r="AE59" s="175">
        <v>2244</v>
      </c>
      <c r="AF59" s="173">
        <v>273</v>
      </c>
      <c r="AG59" s="467" t="s">
        <v>42</v>
      </c>
      <c r="AH59" s="173" t="s">
        <v>302</v>
      </c>
      <c r="AI59" s="173">
        <v>537</v>
      </c>
      <c r="AJ59" s="175">
        <v>11460</v>
      </c>
      <c r="AK59" s="175">
        <v>576</v>
      </c>
      <c r="AL59" s="175">
        <v>2113</v>
      </c>
      <c r="AM59" s="175">
        <v>1152</v>
      </c>
      <c r="AN59" s="173">
        <v>67</v>
      </c>
      <c r="AO59" s="467" t="s">
        <v>315</v>
      </c>
      <c r="AP59" s="173" t="s">
        <v>302</v>
      </c>
      <c r="AQ59" s="173">
        <v>86</v>
      </c>
      <c r="AR59" s="175">
        <v>3983</v>
      </c>
      <c r="AS59" s="175">
        <v>184</v>
      </c>
      <c r="AT59" s="175">
        <v>739</v>
      </c>
      <c r="AU59" s="175">
        <v>391</v>
      </c>
      <c r="AV59" s="173">
        <v>23</v>
      </c>
    </row>
    <row r="60" spans="1:48" x14ac:dyDescent="0.2">
      <c r="A60" s="468"/>
      <c r="B60" s="173" t="s">
        <v>303</v>
      </c>
      <c r="C60" s="173">
        <v>8500</v>
      </c>
      <c r="D60" s="175">
        <v>89064</v>
      </c>
      <c r="E60" s="175">
        <v>2803</v>
      </c>
      <c r="F60" s="175">
        <v>1331</v>
      </c>
      <c r="G60" s="175">
        <v>5527</v>
      </c>
      <c r="H60" s="173">
        <v>475</v>
      </c>
      <c r="I60" s="468"/>
      <c r="J60" s="173" t="s">
        <v>303</v>
      </c>
      <c r="K60" s="173">
        <v>163</v>
      </c>
      <c r="L60" s="175">
        <v>2055</v>
      </c>
      <c r="M60" s="175">
        <v>92</v>
      </c>
      <c r="N60" s="175">
        <v>372</v>
      </c>
      <c r="O60" s="175">
        <v>187</v>
      </c>
      <c r="P60" s="173">
        <v>18</v>
      </c>
      <c r="Q60" s="468"/>
      <c r="R60" s="173" t="s">
        <v>303</v>
      </c>
      <c r="S60" s="173">
        <v>0</v>
      </c>
      <c r="T60" s="175">
        <v>0</v>
      </c>
      <c r="U60" s="175">
        <v>0</v>
      </c>
      <c r="V60" s="175">
        <v>0</v>
      </c>
      <c r="W60" s="175">
        <v>0</v>
      </c>
      <c r="X60" s="173">
        <v>0</v>
      </c>
      <c r="Y60" s="468"/>
      <c r="Z60" s="173" t="s">
        <v>303</v>
      </c>
      <c r="AA60" s="173">
        <v>1883</v>
      </c>
      <c r="AB60" s="175">
        <v>14161</v>
      </c>
      <c r="AC60" s="175">
        <v>493</v>
      </c>
      <c r="AD60" s="175">
        <v>241</v>
      </c>
      <c r="AE60" s="175">
        <v>1004</v>
      </c>
      <c r="AF60" s="173">
        <v>105</v>
      </c>
      <c r="AG60" s="468"/>
      <c r="AH60" s="173" t="s">
        <v>303</v>
      </c>
      <c r="AI60" s="173">
        <v>668</v>
      </c>
      <c r="AJ60" s="175">
        <v>7583</v>
      </c>
      <c r="AK60" s="175">
        <v>359</v>
      </c>
      <c r="AL60" s="175">
        <v>1379</v>
      </c>
      <c r="AM60" s="175">
        <v>729</v>
      </c>
      <c r="AN60" s="173">
        <v>37</v>
      </c>
      <c r="AO60" s="468"/>
      <c r="AP60" s="173" t="s">
        <v>303</v>
      </c>
      <c r="AQ60" s="173">
        <v>53</v>
      </c>
      <c r="AR60" s="175">
        <v>577</v>
      </c>
      <c r="AS60" s="175">
        <v>21</v>
      </c>
      <c r="AT60" s="175">
        <v>103</v>
      </c>
      <c r="AU60" s="175">
        <v>41</v>
      </c>
      <c r="AV60" s="173">
        <v>3</v>
      </c>
    </row>
    <row r="61" spans="1:48" x14ac:dyDescent="0.2">
      <c r="A61" s="468"/>
      <c r="B61" s="173" t="s">
        <v>304</v>
      </c>
      <c r="C61" s="173">
        <v>7188</v>
      </c>
      <c r="D61" s="175">
        <v>74846</v>
      </c>
      <c r="E61" s="175">
        <v>2446</v>
      </c>
      <c r="F61" s="175">
        <v>1131</v>
      </c>
      <c r="G61" s="175">
        <v>4719</v>
      </c>
      <c r="H61" s="173">
        <v>315</v>
      </c>
      <c r="I61" s="468"/>
      <c r="J61" s="173" t="s">
        <v>304</v>
      </c>
      <c r="K61" s="173">
        <v>159</v>
      </c>
      <c r="L61" s="175">
        <v>2098</v>
      </c>
      <c r="M61" s="175">
        <v>92</v>
      </c>
      <c r="N61" s="175">
        <v>380</v>
      </c>
      <c r="O61" s="175">
        <v>183</v>
      </c>
      <c r="P61" s="173">
        <v>7</v>
      </c>
      <c r="Q61" s="468"/>
      <c r="R61" s="173" t="s">
        <v>304</v>
      </c>
      <c r="S61" s="173">
        <v>0</v>
      </c>
      <c r="T61" s="175">
        <v>0</v>
      </c>
      <c r="U61" s="175">
        <v>0</v>
      </c>
      <c r="V61" s="175">
        <v>0</v>
      </c>
      <c r="W61" s="175">
        <v>0</v>
      </c>
      <c r="X61" s="173">
        <v>0</v>
      </c>
      <c r="Y61" s="468"/>
      <c r="Z61" s="173" t="s">
        <v>304</v>
      </c>
      <c r="AA61" s="173">
        <v>1558</v>
      </c>
      <c r="AB61" s="175">
        <v>12238</v>
      </c>
      <c r="AC61" s="175">
        <v>448</v>
      </c>
      <c r="AD61" s="175">
        <v>212</v>
      </c>
      <c r="AE61" s="175">
        <v>896</v>
      </c>
      <c r="AF61" s="173">
        <v>68</v>
      </c>
      <c r="AG61" s="468"/>
      <c r="AH61" s="173" t="s">
        <v>304</v>
      </c>
      <c r="AI61" s="173">
        <v>749</v>
      </c>
      <c r="AJ61" s="175">
        <v>8636</v>
      </c>
      <c r="AK61" s="175">
        <v>395</v>
      </c>
      <c r="AL61" s="175">
        <v>1571</v>
      </c>
      <c r="AM61" s="175">
        <v>787</v>
      </c>
      <c r="AN61" s="173">
        <v>33</v>
      </c>
      <c r="AO61" s="468"/>
      <c r="AP61" s="173" t="s">
        <v>304</v>
      </c>
      <c r="AQ61" s="173">
        <v>91</v>
      </c>
      <c r="AR61" s="175">
        <v>1058</v>
      </c>
      <c r="AS61" s="175">
        <v>53</v>
      </c>
      <c r="AT61" s="175">
        <v>195</v>
      </c>
      <c r="AU61" s="175">
        <v>105</v>
      </c>
      <c r="AV61" s="173">
        <v>4</v>
      </c>
    </row>
    <row r="62" spans="1:48" x14ac:dyDescent="0.2">
      <c r="A62" s="468"/>
      <c r="B62" s="173" t="s">
        <v>305</v>
      </c>
      <c r="C62" s="173">
        <v>13484</v>
      </c>
      <c r="D62" s="175">
        <v>146512</v>
      </c>
      <c r="E62" s="175">
        <v>4359</v>
      </c>
      <c r="F62" s="175">
        <v>2062</v>
      </c>
      <c r="G62" s="175">
        <v>8674</v>
      </c>
      <c r="H62" s="173">
        <v>432</v>
      </c>
      <c r="I62" s="468"/>
      <c r="J62" s="173" t="s">
        <v>305</v>
      </c>
      <c r="K62" s="173">
        <v>285</v>
      </c>
      <c r="L62" s="175">
        <v>3602</v>
      </c>
      <c r="M62" s="175">
        <v>182</v>
      </c>
      <c r="N62" s="175">
        <v>663</v>
      </c>
      <c r="O62" s="175">
        <v>361</v>
      </c>
      <c r="P62" s="173">
        <v>9</v>
      </c>
      <c r="Q62" s="468"/>
      <c r="R62" s="173" t="s">
        <v>305</v>
      </c>
      <c r="S62" s="173">
        <v>27</v>
      </c>
      <c r="T62" s="175">
        <v>632</v>
      </c>
      <c r="U62" s="175">
        <v>32</v>
      </c>
      <c r="V62" s="175">
        <v>116</v>
      </c>
      <c r="W62" s="175">
        <v>64</v>
      </c>
      <c r="X62" s="173">
        <v>1</v>
      </c>
      <c r="Y62" s="468"/>
      <c r="Z62" s="173" t="s">
        <v>305</v>
      </c>
      <c r="AA62" s="173">
        <v>3351</v>
      </c>
      <c r="AB62" s="9">
        <v>27030</v>
      </c>
      <c r="AC62" s="9">
        <v>948</v>
      </c>
      <c r="AD62" s="9">
        <v>451</v>
      </c>
      <c r="AE62" s="9">
        <v>1897</v>
      </c>
      <c r="AF62" s="173">
        <v>106</v>
      </c>
      <c r="AG62" s="468"/>
      <c r="AH62" s="173" t="s">
        <v>305</v>
      </c>
      <c r="AI62" s="173">
        <v>1111</v>
      </c>
      <c r="AJ62" s="175">
        <v>12664</v>
      </c>
      <c r="AK62" s="175">
        <v>578</v>
      </c>
      <c r="AL62" s="175">
        <v>2304</v>
      </c>
      <c r="AM62" s="175">
        <v>1162</v>
      </c>
      <c r="AN62" s="173">
        <v>36</v>
      </c>
      <c r="AO62" s="468"/>
      <c r="AP62" s="173" t="s">
        <v>305</v>
      </c>
      <c r="AQ62" s="173">
        <v>133</v>
      </c>
      <c r="AR62" s="175">
        <v>1405</v>
      </c>
      <c r="AS62" s="175">
        <v>70</v>
      </c>
      <c r="AT62" s="175">
        <v>260</v>
      </c>
      <c r="AU62" s="175">
        <v>142</v>
      </c>
      <c r="AV62" s="173">
        <v>4</v>
      </c>
    </row>
    <row r="63" spans="1:48" x14ac:dyDescent="0.2">
      <c r="A63" s="468"/>
      <c r="B63" s="173" t="s">
        <v>306</v>
      </c>
      <c r="C63" s="173">
        <v>3365</v>
      </c>
      <c r="D63" s="175">
        <v>36256</v>
      </c>
      <c r="E63" s="175">
        <v>1171</v>
      </c>
      <c r="F63" s="175">
        <v>550</v>
      </c>
      <c r="G63" s="175">
        <v>2277</v>
      </c>
      <c r="H63" s="173">
        <v>75</v>
      </c>
      <c r="I63" s="468"/>
      <c r="J63" s="173" t="s">
        <v>306</v>
      </c>
      <c r="K63" s="173">
        <v>226</v>
      </c>
      <c r="L63" s="175">
        <v>2873</v>
      </c>
      <c r="M63" s="175">
        <v>116</v>
      </c>
      <c r="N63" s="175">
        <v>517</v>
      </c>
      <c r="O63" s="175">
        <v>233</v>
      </c>
      <c r="P63" s="173">
        <v>5</v>
      </c>
      <c r="Q63" s="468"/>
      <c r="R63" s="173" t="s">
        <v>306</v>
      </c>
      <c r="S63" s="173">
        <v>98</v>
      </c>
      <c r="T63" s="175">
        <v>2315</v>
      </c>
      <c r="U63" s="175">
        <v>116</v>
      </c>
      <c r="V63" s="175">
        <v>426</v>
      </c>
      <c r="W63" s="175">
        <v>231</v>
      </c>
      <c r="X63" s="173">
        <v>2</v>
      </c>
      <c r="Y63" s="468"/>
      <c r="Z63" s="173" t="s">
        <v>306</v>
      </c>
      <c r="AA63" s="173">
        <v>887</v>
      </c>
      <c r="AB63" s="175">
        <v>8417</v>
      </c>
      <c r="AC63" s="175">
        <v>250</v>
      </c>
      <c r="AD63" s="175">
        <v>120</v>
      </c>
      <c r="AE63" s="175">
        <v>504</v>
      </c>
      <c r="AF63" s="173">
        <v>20</v>
      </c>
      <c r="AG63" s="468"/>
      <c r="AH63" s="173" t="s">
        <v>306</v>
      </c>
      <c r="AI63" s="173">
        <v>350</v>
      </c>
      <c r="AJ63" s="175">
        <v>4143</v>
      </c>
      <c r="AK63" s="175">
        <v>208</v>
      </c>
      <c r="AL63" s="175">
        <v>763</v>
      </c>
      <c r="AM63" s="175">
        <v>416</v>
      </c>
      <c r="AN63" s="173">
        <v>8</v>
      </c>
      <c r="AO63" s="468"/>
      <c r="AP63" s="173" t="s">
        <v>306</v>
      </c>
      <c r="AQ63" s="173">
        <v>44</v>
      </c>
      <c r="AR63" s="175">
        <v>166</v>
      </c>
      <c r="AS63" s="175">
        <v>0</v>
      </c>
      <c r="AT63" s="175">
        <v>27</v>
      </c>
      <c r="AU63" s="175">
        <v>0</v>
      </c>
      <c r="AV63" s="173">
        <v>1</v>
      </c>
    </row>
    <row r="64" spans="1:48" x14ac:dyDescent="0.2">
      <c r="A64" s="468"/>
      <c r="B64" s="173" t="s">
        <v>307</v>
      </c>
      <c r="C64" s="173">
        <v>2123</v>
      </c>
      <c r="D64" s="175">
        <v>23662</v>
      </c>
      <c r="E64" s="175">
        <v>760</v>
      </c>
      <c r="F64" s="175">
        <v>364</v>
      </c>
      <c r="G64" s="175">
        <v>1510</v>
      </c>
      <c r="H64" s="173">
        <v>39</v>
      </c>
      <c r="I64" s="468"/>
      <c r="J64" s="173" t="s">
        <v>307</v>
      </c>
      <c r="K64" s="173">
        <v>169</v>
      </c>
      <c r="L64" s="175">
        <v>2148</v>
      </c>
      <c r="M64" s="175">
        <v>107</v>
      </c>
      <c r="N64" s="175">
        <v>396</v>
      </c>
      <c r="O64" s="175">
        <v>215</v>
      </c>
      <c r="P64" s="173">
        <v>3</v>
      </c>
      <c r="Q64" s="468"/>
      <c r="R64" s="173" t="s">
        <v>307</v>
      </c>
      <c r="S64" s="173">
        <v>0</v>
      </c>
      <c r="T64" s="175">
        <v>0</v>
      </c>
      <c r="U64" s="175" t="s">
        <v>348</v>
      </c>
      <c r="V64" s="175">
        <v>0</v>
      </c>
      <c r="W64" s="175">
        <v>0</v>
      </c>
      <c r="X64" s="173">
        <v>0</v>
      </c>
      <c r="Y64" s="468"/>
      <c r="Z64" s="173" t="s">
        <v>307</v>
      </c>
      <c r="AA64" s="173">
        <v>433</v>
      </c>
      <c r="AB64" s="175">
        <v>4275</v>
      </c>
      <c r="AC64" s="175">
        <v>139</v>
      </c>
      <c r="AD64" s="175">
        <v>67</v>
      </c>
      <c r="AE64" s="175">
        <v>279</v>
      </c>
      <c r="AF64" s="173">
        <v>8</v>
      </c>
      <c r="AG64" s="468"/>
      <c r="AH64" s="173" t="s">
        <v>307</v>
      </c>
      <c r="AI64" s="173">
        <v>104</v>
      </c>
      <c r="AJ64" s="175">
        <v>1220</v>
      </c>
      <c r="AK64" s="175">
        <v>61</v>
      </c>
      <c r="AL64" s="175">
        <v>225</v>
      </c>
      <c r="AM64" s="175">
        <v>122</v>
      </c>
      <c r="AN64" s="173">
        <v>2</v>
      </c>
      <c r="AO64" s="468"/>
      <c r="AP64" s="173" t="s">
        <v>307</v>
      </c>
      <c r="AQ64" s="173">
        <v>107</v>
      </c>
      <c r="AR64" s="175">
        <v>1342</v>
      </c>
      <c r="AS64" s="175">
        <v>35</v>
      </c>
      <c r="AT64" s="175">
        <v>231</v>
      </c>
      <c r="AU64" s="175">
        <v>69</v>
      </c>
      <c r="AV64" s="173">
        <v>2</v>
      </c>
    </row>
    <row r="65" spans="1:48" x14ac:dyDescent="0.2">
      <c r="A65" s="469"/>
      <c r="B65" s="173" t="s">
        <v>308</v>
      </c>
      <c r="C65" s="173">
        <v>2764</v>
      </c>
      <c r="D65" s="175">
        <v>27371</v>
      </c>
      <c r="E65" s="175">
        <v>797</v>
      </c>
      <c r="F65" s="175">
        <v>375</v>
      </c>
      <c r="G65" s="175">
        <v>1596</v>
      </c>
      <c r="H65" s="173">
        <v>32</v>
      </c>
      <c r="I65" s="469"/>
      <c r="J65" s="173" t="s">
        <v>308</v>
      </c>
      <c r="K65" s="173">
        <v>958</v>
      </c>
      <c r="L65" s="175">
        <v>12405</v>
      </c>
      <c r="M65" s="175">
        <v>276</v>
      </c>
      <c r="N65" s="175">
        <v>2119</v>
      </c>
      <c r="O65" s="175">
        <v>552</v>
      </c>
      <c r="P65" s="173">
        <v>7</v>
      </c>
      <c r="Q65" s="469"/>
      <c r="R65" s="173" t="s">
        <v>308</v>
      </c>
      <c r="S65" s="173">
        <v>921</v>
      </c>
      <c r="T65" s="175">
        <v>24231</v>
      </c>
      <c r="U65" s="175">
        <v>803</v>
      </c>
      <c r="V65" s="175">
        <v>4262</v>
      </c>
      <c r="W65" s="175">
        <v>1602</v>
      </c>
      <c r="X65" s="173">
        <v>7</v>
      </c>
      <c r="Y65" s="469"/>
      <c r="Z65" s="173" t="s">
        <v>308</v>
      </c>
      <c r="AA65" s="173">
        <v>932</v>
      </c>
      <c r="AB65" s="175">
        <v>9197</v>
      </c>
      <c r="AC65" s="175">
        <v>234</v>
      </c>
      <c r="AD65" s="175">
        <v>112</v>
      </c>
      <c r="AE65" s="175">
        <v>468</v>
      </c>
      <c r="AF65" s="173">
        <v>12</v>
      </c>
      <c r="AG65" s="469"/>
      <c r="AH65" s="173" t="s">
        <v>308</v>
      </c>
      <c r="AI65" s="173">
        <v>538</v>
      </c>
      <c r="AJ65" s="175">
        <v>6458</v>
      </c>
      <c r="AK65" s="175">
        <v>178</v>
      </c>
      <c r="AL65" s="175">
        <v>1119</v>
      </c>
      <c r="AM65" s="175">
        <v>354</v>
      </c>
      <c r="AN65" s="173">
        <v>5</v>
      </c>
      <c r="AO65" s="469"/>
      <c r="AP65" s="173" t="s">
        <v>308</v>
      </c>
      <c r="AQ65" s="173">
        <v>754</v>
      </c>
      <c r="AR65" s="175">
        <v>7049</v>
      </c>
      <c r="AS65" s="175">
        <v>352</v>
      </c>
      <c r="AT65" s="175">
        <v>1298</v>
      </c>
      <c r="AU65" s="175">
        <v>707</v>
      </c>
      <c r="AV65" s="173">
        <v>9</v>
      </c>
    </row>
    <row r="66" spans="1:48" x14ac:dyDescent="0.2">
      <c r="C66" s="173">
        <f t="shared" ref="C66:H66" si="33">SUM(C59:C65)</f>
        <v>49806</v>
      </c>
      <c r="D66" s="176">
        <f t="shared" si="33"/>
        <v>624617</v>
      </c>
      <c r="E66" s="176">
        <f t="shared" si="33"/>
        <v>19184</v>
      </c>
      <c r="F66" s="176">
        <f t="shared" si="33"/>
        <v>8747</v>
      </c>
      <c r="G66" s="176">
        <f t="shared" si="33"/>
        <v>37987</v>
      </c>
      <c r="H66" s="173">
        <f t="shared" si="33"/>
        <v>2925</v>
      </c>
      <c r="K66" s="173">
        <f t="shared" ref="K66:P66" si="34">SUM(K59:K65)</f>
        <v>2501</v>
      </c>
      <c r="L66" s="176">
        <f t="shared" si="34"/>
        <v>45232</v>
      </c>
      <c r="M66" s="176">
        <f t="shared" si="34"/>
        <v>1833</v>
      </c>
      <c r="N66" s="176">
        <f t="shared" si="34"/>
        <v>8089</v>
      </c>
      <c r="O66" s="176">
        <f t="shared" si="34"/>
        <v>3616</v>
      </c>
      <c r="P66" s="173">
        <f t="shared" si="34"/>
        <v>149</v>
      </c>
      <c r="S66" s="173">
        <f t="shared" ref="S66:X66" si="35">SUM(S59:S65)</f>
        <v>1058</v>
      </c>
      <c r="T66" s="176">
        <f t="shared" si="35"/>
        <v>27810</v>
      </c>
      <c r="U66" s="176">
        <f t="shared" si="35"/>
        <v>983</v>
      </c>
      <c r="V66" s="176">
        <f t="shared" si="35"/>
        <v>4920</v>
      </c>
      <c r="W66" s="176">
        <f t="shared" si="35"/>
        <v>1961</v>
      </c>
      <c r="X66" s="173">
        <f t="shared" si="35"/>
        <v>11</v>
      </c>
      <c r="AA66" s="173">
        <f t="shared" ref="AA66:AF66" si="36">SUM(AA59:AA65)</f>
        <v>11309</v>
      </c>
      <c r="AB66" s="176">
        <f t="shared" si="36"/>
        <v>105138</v>
      </c>
      <c r="AC66" s="176">
        <f t="shared" si="36"/>
        <v>3532</v>
      </c>
      <c r="AD66" s="176">
        <f t="shared" si="36"/>
        <v>1815</v>
      </c>
      <c r="AE66" s="176">
        <f t="shared" si="36"/>
        <v>7292</v>
      </c>
      <c r="AF66" s="173">
        <f t="shared" si="36"/>
        <v>592</v>
      </c>
      <c r="AI66" s="173">
        <f t="shared" ref="AI66:AN66" si="37">SUM(AI59:AI65)</f>
        <v>4057</v>
      </c>
      <c r="AJ66" s="176">
        <f t="shared" si="37"/>
        <v>52164</v>
      </c>
      <c r="AK66" s="176">
        <f t="shared" si="37"/>
        <v>2355</v>
      </c>
      <c r="AL66" s="176">
        <f t="shared" si="37"/>
        <v>9474</v>
      </c>
      <c r="AM66" s="176">
        <f t="shared" si="37"/>
        <v>4722</v>
      </c>
      <c r="AN66" s="173">
        <f t="shared" si="37"/>
        <v>188</v>
      </c>
      <c r="AQ66" s="173">
        <f t="shared" ref="AQ66:AV66" si="38">SUM(AQ59:AQ65)</f>
        <v>1268</v>
      </c>
      <c r="AR66" s="176">
        <f t="shared" si="38"/>
        <v>15580</v>
      </c>
      <c r="AS66" s="176">
        <f t="shared" si="38"/>
        <v>715</v>
      </c>
      <c r="AT66" s="176">
        <f t="shared" si="38"/>
        <v>2853</v>
      </c>
      <c r="AU66" s="176">
        <f t="shared" si="38"/>
        <v>1455</v>
      </c>
      <c r="AV66" s="173">
        <f t="shared" si="38"/>
        <v>46</v>
      </c>
    </row>
    <row r="69" spans="1:48" ht="22.5" x14ac:dyDescent="0.2">
      <c r="A69" s="174" t="s">
        <v>10</v>
      </c>
      <c r="B69" s="174"/>
      <c r="C69" s="174" t="s">
        <v>313</v>
      </c>
      <c r="D69" s="174" t="s">
        <v>309</v>
      </c>
      <c r="E69" s="174" t="s">
        <v>238</v>
      </c>
      <c r="F69" s="174" t="s">
        <v>311</v>
      </c>
      <c r="G69" s="174" t="s">
        <v>310</v>
      </c>
      <c r="H69" s="174" t="s">
        <v>312</v>
      </c>
      <c r="I69" s="174"/>
      <c r="J69" s="174"/>
      <c r="K69" s="174" t="s">
        <v>313</v>
      </c>
      <c r="L69" s="174" t="s">
        <v>309</v>
      </c>
      <c r="M69" s="174" t="s">
        <v>238</v>
      </c>
      <c r="N69" s="174" t="s">
        <v>311</v>
      </c>
      <c r="O69" s="174" t="s">
        <v>310</v>
      </c>
      <c r="P69" s="174" t="s">
        <v>312</v>
      </c>
      <c r="Q69" s="174"/>
      <c r="R69" s="174"/>
      <c r="S69" s="174" t="s">
        <v>313</v>
      </c>
      <c r="T69" s="174" t="s">
        <v>309</v>
      </c>
      <c r="U69" s="174" t="s">
        <v>238</v>
      </c>
      <c r="V69" s="174" t="s">
        <v>311</v>
      </c>
      <c r="W69" s="174" t="s">
        <v>310</v>
      </c>
      <c r="X69" s="174" t="s">
        <v>312</v>
      </c>
      <c r="Y69" s="174"/>
      <c r="Z69" s="174"/>
      <c r="AA69" s="174" t="s">
        <v>313</v>
      </c>
      <c r="AB69" s="174" t="s">
        <v>309</v>
      </c>
      <c r="AC69" s="174" t="s">
        <v>238</v>
      </c>
      <c r="AD69" s="174" t="s">
        <v>311</v>
      </c>
      <c r="AE69" s="174" t="s">
        <v>310</v>
      </c>
      <c r="AF69" s="174" t="s">
        <v>312</v>
      </c>
      <c r="AG69" s="174"/>
      <c r="AH69" s="174"/>
      <c r="AI69" s="174" t="s">
        <v>313</v>
      </c>
      <c r="AJ69" s="174" t="s">
        <v>309</v>
      </c>
      <c r="AK69" s="174" t="s">
        <v>238</v>
      </c>
      <c r="AL69" s="174" t="s">
        <v>311</v>
      </c>
      <c r="AM69" s="174" t="s">
        <v>310</v>
      </c>
      <c r="AN69" s="174" t="s">
        <v>312</v>
      </c>
      <c r="AO69" s="174"/>
      <c r="AP69" s="174"/>
      <c r="AQ69" s="174" t="s">
        <v>313</v>
      </c>
      <c r="AR69" s="174" t="s">
        <v>309</v>
      </c>
      <c r="AS69" s="174" t="s">
        <v>238</v>
      </c>
      <c r="AT69" s="174" t="s">
        <v>310</v>
      </c>
      <c r="AU69" s="174" t="s">
        <v>311</v>
      </c>
      <c r="AV69" s="174" t="s">
        <v>312</v>
      </c>
    </row>
    <row r="70" spans="1:48" x14ac:dyDescent="0.2">
      <c r="A70" s="467" t="s">
        <v>39</v>
      </c>
      <c r="B70" s="173" t="s">
        <v>302</v>
      </c>
      <c r="C70" s="173">
        <v>15786</v>
      </c>
      <c r="D70" s="175">
        <v>311167</v>
      </c>
      <c r="E70" s="175">
        <v>9474</v>
      </c>
      <c r="F70" s="175">
        <v>4055</v>
      </c>
      <c r="G70" s="175">
        <v>18906</v>
      </c>
      <c r="H70" s="173">
        <v>2323</v>
      </c>
      <c r="I70" s="467" t="s">
        <v>40</v>
      </c>
      <c r="J70" s="173" t="s">
        <v>302</v>
      </c>
      <c r="K70" s="173">
        <v>638</v>
      </c>
      <c r="L70" s="175">
        <v>26014</v>
      </c>
      <c r="M70" s="175">
        <v>1287</v>
      </c>
      <c r="N70" s="175">
        <v>4718</v>
      </c>
      <c r="O70" s="175">
        <v>2569</v>
      </c>
      <c r="P70" s="173">
        <v>124</v>
      </c>
      <c r="Q70" s="467" t="s">
        <v>41</v>
      </c>
      <c r="R70" s="173" t="s">
        <v>302</v>
      </c>
      <c r="S70" s="173">
        <v>0</v>
      </c>
      <c r="T70" s="175">
        <v>0</v>
      </c>
      <c r="U70" s="175">
        <v>0</v>
      </c>
      <c r="V70" s="175">
        <v>0</v>
      </c>
      <c r="W70" s="175">
        <v>0</v>
      </c>
      <c r="X70" s="173">
        <v>0</v>
      </c>
      <c r="Y70" s="467" t="s">
        <v>314</v>
      </c>
      <c r="Z70" s="173" t="s">
        <v>302</v>
      </c>
      <c r="AA70" s="1">
        <v>3086</v>
      </c>
      <c r="AB70" s="175">
        <v>44205</v>
      </c>
      <c r="AC70" s="175">
        <v>1515</v>
      </c>
      <c r="AD70" s="175">
        <v>909</v>
      </c>
      <c r="AE70" s="175">
        <v>3333</v>
      </c>
      <c r="AF70" s="173">
        <v>424</v>
      </c>
      <c r="AG70" s="467" t="s">
        <v>42</v>
      </c>
      <c r="AH70" s="173" t="s">
        <v>302</v>
      </c>
      <c r="AI70" s="173">
        <v>779</v>
      </c>
      <c r="AJ70" s="175">
        <v>15938</v>
      </c>
      <c r="AK70" s="175">
        <v>768</v>
      </c>
      <c r="AL70" s="175">
        <v>2909</v>
      </c>
      <c r="AM70" s="175">
        <v>1536</v>
      </c>
      <c r="AN70" s="173">
        <v>100</v>
      </c>
      <c r="AO70" s="467" t="s">
        <v>315</v>
      </c>
      <c r="AP70" s="173" t="s">
        <v>302</v>
      </c>
      <c r="AQ70" s="173">
        <v>126</v>
      </c>
      <c r="AR70" s="175">
        <v>4509</v>
      </c>
      <c r="AS70" s="175">
        <v>208</v>
      </c>
      <c r="AT70" s="175">
        <v>833</v>
      </c>
      <c r="AU70" s="175">
        <v>442</v>
      </c>
      <c r="AV70" s="173">
        <v>30</v>
      </c>
    </row>
    <row r="71" spans="1:48" x14ac:dyDescent="0.2">
      <c r="A71" s="468"/>
      <c r="B71" s="173" t="s">
        <v>303</v>
      </c>
      <c r="C71" s="173">
        <v>7998</v>
      </c>
      <c r="D71" s="175">
        <v>85535</v>
      </c>
      <c r="E71" s="175">
        <v>2673</v>
      </c>
      <c r="F71" s="175">
        <v>1257</v>
      </c>
      <c r="G71" s="175">
        <v>5278</v>
      </c>
      <c r="H71" s="173">
        <v>450</v>
      </c>
      <c r="I71" s="468"/>
      <c r="J71" s="173" t="s">
        <v>303</v>
      </c>
      <c r="K71" s="173">
        <v>233</v>
      </c>
      <c r="L71" s="175">
        <v>3655</v>
      </c>
      <c r="M71" s="175">
        <v>174</v>
      </c>
      <c r="N71" s="175">
        <v>663</v>
      </c>
      <c r="O71" s="175">
        <v>346</v>
      </c>
      <c r="P71" s="173">
        <v>13</v>
      </c>
      <c r="Q71" s="468"/>
      <c r="R71" s="173" t="s">
        <v>303</v>
      </c>
      <c r="S71" s="173">
        <v>0</v>
      </c>
      <c r="T71" s="175">
        <v>0</v>
      </c>
      <c r="U71" s="175">
        <v>0</v>
      </c>
      <c r="V71" s="175">
        <v>0</v>
      </c>
      <c r="W71" s="175">
        <v>0</v>
      </c>
      <c r="X71" s="173">
        <v>0</v>
      </c>
      <c r="Y71" s="468"/>
      <c r="Z71" s="173" t="s">
        <v>303</v>
      </c>
      <c r="AA71" s="173">
        <v>1523</v>
      </c>
      <c r="AB71" s="175">
        <v>11447</v>
      </c>
      <c r="AC71" s="175">
        <v>392</v>
      </c>
      <c r="AD71" s="175">
        <v>195</v>
      </c>
      <c r="AE71" s="175">
        <v>801</v>
      </c>
      <c r="AF71" s="173">
        <v>86</v>
      </c>
      <c r="AG71" s="468"/>
      <c r="AH71" s="173" t="s">
        <v>303</v>
      </c>
      <c r="AI71" s="173">
        <v>702</v>
      </c>
      <c r="AJ71" s="175">
        <v>8059</v>
      </c>
      <c r="AK71" s="175">
        <v>374</v>
      </c>
      <c r="AL71" s="175">
        <v>1456</v>
      </c>
      <c r="AM71" s="175">
        <v>759</v>
      </c>
      <c r="AN71" s="173">
        <v>39</v>
      </c>
      <c r="AO71" s="468"/>
      <c r="AP71" s="173" t="s">
        <v>303</v>
      </c>
      <c r="AQ71" s="173">
        <v>53</v>
      </c>
      <c r="AR71" s="175">
        <v>568</v>
      </c>
      <c r="AS71" s="175">
        <v>20</v>
      </c>
      <c r="AT71" s="175">
        <v>101</v>
      </c>
      <c r="AU71" s="175">
        <v>41</v>
      </c>
      <c r="AV71" s="173">
        <v>3</v>
      </c>
    </row>
    <row r="72" spans="1:48" x14ac:dyDescent="0.2">
      <c r="A72" s="468"/>
      <c r="B72" s="173" t="s">
        <v>304</v>
      </c>
      <c r="C72" s="173">
        <v>6541</v>
      </c>
      <c r="D72" s="175">
        <v>70262</v>
      </c>
      <c r="E72" s="175">
        <v>2346</v>
      </c>
      <c r="F72" s="175">
        <v>1084</v>
      </c>
      <c r="G72" s="175">
        <v>4579</v>
      </c>
      <c r="H72" s="173">
        <v>286</v>
      </c>
      <c r="I72" s="468"/>
      <c r="J72" s="173" t="s">
        <v>304</v>
      </c>
      <c r="K72" s="173">
        <v>182</v>
      </c>
      <c r="L72" s="175">
        <v>2571</v>
      </c>
      <c r="M72" s="175">
        <v>129</v>
      </c>
      <c r="N72" s="175">
        <v>472</v>
      </c>
      <c r="O72" s="175">
        <v>258</v>
      </c>
      <c r="P72" s="173">
        <v>8</v>
      </c>
      <c r="Q72" s="468"/>
      <c r="R72" s="173" t="s">
        <v>304</v>
      </c>
      <c r="S72" s="173">
        <v>0</v>
      </c>
      <c r="T72" s="175">
        <v>0</v>
      </c>
      <c r="U72" s="175">
        <v>0</v>
      </c>
      <c r="V72" s="175">
        <v>0</v>
      </c>
      <c r="W72" s="175">
        <v>0</v>
      </c>
      <c r="X72" s="173">
        <v>0</v>
      </c>
      <c r="Y72" s="468"/>
      <c r="Z72" s="173" t="s">
        <v>304</v>
      </c>
      <c r="AA72" s="173">
        <v>1480</v>
      </c>
      <c r="AB72" s="175">
        <v>11866</v>
      </c>
      <c r="AC72" s="175">
        <v>393</v>
      </c>
      <c r="AD72" s="175">
        <v>188</v>
      </c>
      <c r="AE72" s="175">
        <v>790</v>
      </c>
      <c r="AF72" s="173">
        <v>65</v>
      </c>
      <c r="AG72" s="468"/>
      <c r="AH72" s="173" t="s">
        <v>304</v>
      </c>
      <c r="AI72" s="173">
        <v>699</v>
      </c>
      <c r="AJ72" s="175">
        <v>8137</v>
      </c>
      <c r="AK72" s="175">
        <v>409</v>
      </c>
      <c r="AL72" s="175">
        <v>1492</v>
      </c>
      <c r="AM72" s="175">
        <v>818</v>
      </c>
      <c r="AN72" s="173">
        <v>31</v>
      </c>
      <c r="AO72" s="468"/>
      <c r="AP72" s="173" t="s">
        <v>304</v>
      </c>
      <c r="AQ72" s="173">
        <v>0</v>
      </c>
      <c r="AR72" s="175">
        <v>0</v>
      </c>
      <c r="AS72" s="175">
        <v>0</v>
      </c>
      <c r="AT72" s="175">
        <v>0</v>
      </c>
      <c r="AU72" s="175">
        <v>0</v>
      </c>
      <c r="AV72" s="173">
        <v>0</v>
      </c>
    </row>
    <row r="73" spans="1:48" x14ac:dyDescent="0.2">
      <c r="A73" s="468"/>
      <c r="B73" s="173" t="s">
        <v>305</v>
      </c>
      <c r="C73" s="173">
        <v>10429</v>
      </c>
      <c r="D73" s="175">
        <v>112308</v>
      </c>
      <c r="E73" s="175">
        <v>3247</v>
      </c>
      <c r="F73" s="175">
        <v>1517</v>
      </c>
      <c r="G73" s="175">
        <v>6437</v>
      </c>
      <c r="H73" s="173">
        <v>333</v>
      </c>
      <c r="I73" s="468"/>
      <c r="J73" s="173" t="s">
        <v>305</v>
      </c>
      <c r="K73" s="173">
        <v>362</v>
      </c>
      <c r="L73" s="175">
        <v>4570</v>
      </c>
      <c r="M73" s="175">
        <v>189</v>
      </c>
      <c r="N73" s="175">
        <v>822</v>
      </c>
      <c r="O73" s="175">
        <v>383</v>
      </c>
      <c r="P73" s="173">
        <v>12</v>
      </c>
      <c r="Q73" s="468"/>
      <c r="R73" s="173" t="s">
        <v>305</v>
      </c>
      <c r="S73" s="173">
        <v>70</v>
      </c>
      <c r="T73" s="175">
        <v>1564</v>
      </c>
      <c r="U73" s="175">
        <v>44</v>
      </c>
      <c r="V73" s="175">
        <v>272</v>
      </c>
      <c r="W73" s="175">
        <v>87</v>
      </c>
      <c r="X73" s="173">
        <v>2</v>
      </c>
      <c r="Y73" s="468"/>
      <c r="Z73" s="173" t="s">
        <v>305</v>
      </c>
      <c r="AA73" s="173">
        <v>2403</v>
      </c>
      <c r="AB73" s="9">
        <v>18848</v>
      </c>
      <c r="AC73" s="9">
        <v>669</v>
      </c>
      <c r="AD73" s="9">
        <v>330</v>
      </c>
      <c r="AE73" s="9">
        <v>1354</v>
      </c>
      <c r="AF73" s="173">
        <v>77</v>
      </c>
      <c r="AG73" s="468"/>
      <c r="AH73" s="173" t="s">
        <v>305</v>
      </c>
      <c r="AI73" s="173">
        <v>764</v>
      </c>
      <c r="AJ73" s="175">
        <v>8725</v>
      </c>
      <c r="AK73" s="175">
        <v>386</v>
      </c>
      <c r="AL73" s="175">
        <v>1579</v>
      </c>
      <c r="AM73" s="175">
        <v>773</v>
      </c>
      <c r="AN73" s="173">
        <v>24</v>
      </c>
      <c r="AO73" s="468"/>
      <c r="AP73" s="173" t="s">
        <v>305</v>
      </c>
      <c r="AQ73" s="173">
        <v>252</v>
      </c>
      <c r="AR73" s="175">
        <v>2614</v>
      </c>
      <c r="AS73" s="175">
        <v>102</v>
      </c>
      <c r="AT73" s="175">
        <v>468</v>
      </c>
      <c r="AU73" s="175">
        <v>205</v>
      </c>
      <c r="AV73" s="173">
        <v>8</v>
      </c>
    </row>
    <row r="74" spans="1:48" x14ac:dyDescent="0.2">
      <c r="A74" s="468"/>
      <c r="B74" s="173" t="s">
        <v>306</v>
      </c>
      <c r="C74" s="173">
        <v>3577</v>
      </c>
      <c r="D74" s="175">
        <v>38184</v>
      </c>
      <c r="E74" s="175">
        <v>951</v>
      </c>
      <c r="F74" s="175">
        <v>453</v>
      </c>
      <c r="G74" s="175">
        <v>1888</v>
      </c>
      <c r="H74" s="173">
        <v>81</v>
      </c>
      <c r="I74" s="468"/>
      <c r="J74" s="173" t="s">
        <v>306</v>
      </c>
      <c r="K74" s="173">
        <v>320</v>
      </c>
      <c r="L74" s="175">
        <v>4003</v>
      </c>
      <c r="M74" s="175">
        <v>201</v>
      </c>
      <c r="N74" s="175">
        <v>736</v>
      </c>
      <c r="O74" s="175">
        <v>401</v>
      </c>
      <c r="P74" s="173">
        <v>7</v>
      </c>
      <c r="Q74" s="468"/>
      <c r="R74" s="173" t="s">
        <v>306</v>
      </c>
      <c r="S74" s="173">
        <v>49</v>
      </c>
      <c r="T74" s="175">
        <v>1163</v>
      </c>
      <c r="U74" s="175">
        <v>58</v>
      </c>
      <c r="V74" s="175">
        <v>214</v>
      </c>
      <c r="W74" s="175">
        <v>116</v>
      </c>
      <c r="X74" s="173">
        <v>1</v>
      </c>
      <c r="Y74" s="468"/>
      <c r="Z74" s="173" t="s">
        <v>306</v>
      </c>
      <c r="AA74" s="173">
        <v>717</v>
      </c>
      <c r="AB74" s="175">
        <v>6302</v>
      </c>
      <c r="AC74" s="175">
        <v>199</v>
      </c>
      <c r="AD74" s="175">
        <v>96</v>
      </c>
      <c r="AE74" s="175">
        <v>398</v>
      </c>
      <c r="AF74" s="173">
        <v>16</v>
      </c>
      <c r="AG74" s="468"/>
      <c r="AH74" s="173" t="s">
        <v>306</v>
      </c>
      <c r="AI74" s="173">
        <v>130</v>
      </c>
      <c r="AJ74" s="175">
        <v>1532</v>
      </c>
      <c r="AK74" s="175">
        <v>77</v>
      </c>
      <c r="AL74" s="175">
        <v>283</v>
      </c>
      <c r="AM74" s="175">
        <v>153</v>
      </c>
      <c r="AN74" s="173">
        <v>3</v>
      </c>
      <c r="AO74" s="468"/>
      <c r="AP74" s="173" t="s">
        <v>306</v>
      </c>
      <c r="AQ74" s="173">
        <v>50</v>
      </c>
      <c r="AR74" s="175">
        <v>167</v>
      </c>
      <c r="AS74" s="175">
        <v>8</v>
      </c>
      <c r="AT74" s="175">
        <v>31</v>
      </c>
      <c r="AU74" s="175">
        <v>17</v>
      </c>
      <c r="AV74" s="173">
        <v>1</v>
      </c>
    </row>
    <row r="75" spans="1:48" x14ac:dyDescent="0.2">
      <c r="A75" s="468"/>
      <c r="B75" s="173" t="s">
        <v>307</v>
      </c>
      <c r="C75" s="173">
        <v>2356</v>
      </c>
      <c r="D75" s="175">
        <v>26030</v>
      </c>
      <c r="E75" s="175">
        <v>602</v>
      </c>
      <c r="F75" s="175">
        <v>291</v>
      </c>
      <c r="G75" s="175">
        <v>1191</v>
      </c>
      <c r="H75" s="173">
        <v>43</v>
      </c>
      <c r="I75" s="468"/>
      <c r="J75" s="173" t="s">
        <v>307</v>
      </c>
      <c r="K75" s="173">
        <v>111</v>
      </c>
      <c r="L75" s="175">
        <v>1365</v>
      </c>
      <c r="M75" s="175">
        <v>70</v>
      </c>
      <c r="N75" s="175">
        <v>251</v>
      </c>
      <c r="O75" s="175">
        <v>136</v>
      </c>
      <c r="P75" s="173">
        <v>2</v>
      </c>
      <c r="Q75" s="468"/>
      <c r="R75" s="173" t="s">
        <v>307</v>
      </c>
      <c r="S75" s="173">
        <v>53</v>
      </c>
      <c r="T75" s="175">
        <v>1330</v>
      </c>
      <c r="U75" s="175">
        <v>67</v>
      </c>
      <c r="V75" s="175">
        <v>245</v>
      </c>
      <c r="W75" s="175">
        <v>133</v>
      </c>
      <c r="X75" s="173">
        <v>1</v>
      </c>
      <c r="Y75" s="468"/>
      <c r="Z75" s="173" t="s">
        <v>307</v>
      </c>
      <c r="AA75" s="173">
        <v>329</v>
      </c>
      <c r="AB75" s="175">
        <v>2748</v>
      </c>
      <c r="AC75" s="175">
        <v>117</v>
      </c>
      <c r="AD75" s="175">
        <v>56</v>
      </c>
      <c r="AE75" s="175">
        <v>231</v>
      </c>
      <c r="AF75" s="173">
        <v>6</v>
      </c>
      <c r="AG75" s="468"/>
      <c r="AH75" s="173" t="s">
        <v>307</v>
      </c>
      <c r="AI75" s="173">
        <v>175</v>
      </c>
      <c r="AJ75" s="175">
        <v>1984</v>
      </c>
      <c r="AK75" s="175">
        <v>100</v>
      </c>
      <c r="AL75" s="175">
        <v>364</v>
      </c>
      <c r="AM75" s="175">
        <v>200</v>
      </c>
      <c r="AN75" s="173">
        <v>3</v>
      </c>
      <c r="AO75" s="468"/>
      <c r="AP75" s="173" t="s">
        <v>307</v>
      </c>
      <c r="AQ75" s="173">
        <v>53</v>
      </c>
      <c r="AR75" s="175">
        <v>668</v>
      </c>
      <c r="AS75" s="175">
        <v>33</v>
      </c>
      <c r="AT75" s="175">
        <v>123</v>
      </c>
      <c r="AU75" s="175">
        <v>67</v>
      </c>
      <c r="AV75" s="173">
        <v>1</v>
      </c>
    </row>
    <row r="76" spans="1:48" x14ac:dyDescent="0.2">
      <c r="A76" s="469"/>
      <c r="B76" s="173" t="s">
        <v>308</v>
      </c>
      <c r="C76" s="173">
        <v>3323</v>
      </c>
      <c r="D76" s="175">
        <v>34525</v>
      </c>
      <c r="E76" s="175">
        <v>933</v>
      </c>
      <c r="F76" s="175">
        <v>439</v>
      </c>
      <c r="G76" s="175">
        <v>1867</v>
      </c>
      <c r="H76" s="173">
        <v>42</v>
      </c>
      <c r="I76" s="469"/>
      <c r="J76" s="173" t="s">
        <v>308</v>
      </c>
      <c r="K76" s="173">
        <v>489</v>
      </c>
      <c r="L76" s="175">
        <v>6348</v>
      </c>
      <c r="M76" s="175">
        <v>202</v>
      </c>
      <c r="N76" s="175">
        <v>1112</v>
      </c>
      <c r="O76" s="175">
        <v>402</v>
      </c>
      <c r="P76" s="173">
        <v>5</v>
      </c>
      <c r="Q76" s="469"/>
      <c r="R76" s="173" t="s">
        <v>308</v>
      </c>
      <c r="S76" s="173">
        <v>676</v>
      </c>
      <c r="T76" s="175">
        <v>18026</v>
      </c>
      <c r="U76" s="175">
        <v>438</v>
      </c>
      <c r="V76" s="175">
        <v>3094</v>
      </c>
      <c r="W76" s="175">
        <v>874</v>
      </c>
      <c r="X76" s="173">
        <v>5</v>
      </c>
      <c r="Y76" s="469"/>
      <c r="Z76" s="173" t="s">
        <v>308</v>
      </c>
      <c r="AA76" s="173">
        <v>395</v>
      </c>
      <c r="AB76" s="175">
        <v>3336</v>
      </c>
      <c r="AC76" s="175">
        <v>31</v>
      </c>
      <c r="AD76" s="175">
        <v>15</v>
      </c>
      <c r="AE76" s="175">
        <v>61</v>
      </c>
      <c r="AF76" s="173">
        <v>5</v>
      </c>
      <c r="AG76" s="469"/>
      <c r="AH76" s="173" t="s">
        <v>308</v>
      </c>
      <c r="AI76" s="173">
        <v>518</v>
      </c>
      <c r="AJ76" s="175">
        <v>6204</v>
      </c>
      <c r="AK76" s="175">
        <v>226</v>
      </c>
      <c r="AL76" s="175">
        <v>1101</v>
      </c>
      <c r="AM76" s="175">
        <v>451</v>
      </c>
      <c r="AN76" s="173">
        <v>5</v>
      </c>
      <c r="AO76" s="469"/>
      <c r="AP76" s="173" t="s">
        <v>308</v>
      </c>
      <c r="AQ76" s="173">
        <v>475</v>
      </c>
      <c r="AR76" s="175">
        <v>4316</v>
      </c>
      <c r="AS76" s="175">
        <v>232</v>
      </c>
      <c r="AT76" s="175">
        <v>802</v>
      </c>
      <c r="AU76" s="175">
        <v>466</v>
      </c>
      <c r="AV76" s="173">
        <v>6</v>
      </c>
    </row>
    <row r="77" spans="1:48" x14ac:dyDescent="0.2">
      <c r="C77" s="173">
        <f t="shared" ref="C77:H77" si="39">SUM(C70:C76)</f>
        <v>50010</v>
      </c>
      <c r="D77" s="176">
        <f t="shared" si="39"/>
        <v>678011</v>
      </c>
      <c r="E77" s="176">
        <f t="shared" si="39"/>
        <v>20226</v>
      </c>
      <c r="F77" s="176">
        <f t="shared" si="39"/>
        <v>9096</v>
      </c>
      <c r="G77" s="176">
        <f t="shared" si="39"/>
        <v>40146</v>
      </c>
      <c r="H77" s="173">
        <f t="shared" si="39"/>
        <v>3558</v>
      </c>
      <c r="K77" s="173">
        <f t="shared" ref="K77:P77" si="40">SUM(K70:K76)</f>
        <v>2335</v>
      </c>
      <c r="L77" s="176">
        <f t="shared" si="40"/>
        <v>48526</v>
      </c>
      <c r="M77" s="176">
        <f t="shared" si="40"/>
        <v>2252</v>
      </c>
      <c r="N77" s="176">
        <f t="shared" si="40"/>
        <v>8774</v>
      </c>
      <c r="O77" s="176">
        <f t="shared" si="40"/>
        <v>4495</v>
      </c>
      <c r="P77" s="173">
        <f t="shared" si="40"/>
        <v>171</v>
      </c>
      <c r="S77" s="173">
        <f t="shared" ref="S77:X77" si="41">SUM(S70:S76)</f>
        <v>848</v>
      </c>
      <c r="T77" s="176">
        <f t="shared" si="41"/>
        <v>22083</v>
      </c>
      <c r="U77" s="176">
        <f t="shared" si="41"/>
        <v>607</v>
      </c>
      <c r="V77" s="176">
        <f t="shared" si="41"/>
        <v>3825</v>
      </c>
      <c r="W77" s="176">
        <f t="shared" si="41"/>
        <v>1210</v>
      </c>
      <c r="X77" s="173">
        <f t="shared" si="41"/>
        <v>9</v>
      </c>
      <c r="AA77" s="173">
        <f t="shared" ref="AA77:AF77" si="42">SUM(AA70:AA76)</f>
        <v>9933</v>
      </c>
      <c r="AB77" s="176">
        <f t="shared" si="42"/>
        <v>98752</v>
      </c>
      <c r="AC77" s="176">
        <f t="shared" si="42"/>
        <v>3316</v>
      </c>
      <c r="AD77" s="176">
        <f t="shared" si="42"/>
        <v>1789</v>
      </c>
      <c r="AE77" s="176">
        <f t="shared" si="42"/>
        <v>6968</v>
      </c>
      <c r="AF77" s="173">
        <f t="shared" si="42"/>
        <v>679</v>
      </c>
      <c r="AI77" s="173">
        <f t="shared" ref="AI77:AN77" si="43">SUM(AI70:AI76)</f>
        <v>3767</v>
      </c>
      <c r="AJ77" s="176">
        <f t="shared" si="43"/>
        <v>50579</v>
      </c>
      <c r="AK77" s="176">
        <f t="shared" si="43"/>
        <v>2340</v>
      </c>
      <c r="AL77" s="176">
        <f t="shared" si="43"/>
        <v>9184</v>
      </c>
      <c r="AM77" s="176">
        <f t="shared" si="43"/>
        <v>4690</v>
      </c>
      <c r="AN77" s="173">
        <f t="shared" si="43"/>
        <v>205</v>
      </c>
      <c r="AQ77" s="173">
        <f t="shared" ref="AQ77:AV77" si="44">SUM(AQ70:AQ76)</f>
        <v>1009</v>
      </c>
      <c r="AR77" s="176">
        <f t="shared" si="44"/>
        <v>12842</v>
      </c>
      <c r="AS77" s="176">
        <f t="shared" si="44"/>
        <v>603</v>
      </c>
      <c r="AT77" s="176">
        <f t="shared" si="44"/>
        <v>2358</v>
      </c>
      <c r="AU77" s="176">
        <f t="shared" si="44"/>
        <v>1238</v>
      </c>
      <c r="AV77" s="173">
        <f t="shared" si="44"/>
        <v>49</v>
      </c>
    </row>
    <row r="80" spans="1:48" ht="22.5" x14ac:dyDescent="0.2">
      <c r="A80" s="174" t="s">
        <v>11</v>
      </c>
      <c r="B80" s="174"/>
      <c r="C80" s="174" t="s">
        <v>313</v>
      </c>
      <c r="D80" s="174" t="s">
        <v>309</v>
      </c>
      <c r="E80" s="174" t="s">
        <v>238</v>
      </c>
      <c r="F80" s="174" t="s">
        <v>311</v>
      </c>
      <c r="G80" s="174" t="s">
        <v>310</v>
      </c>
      <c r="H80" s="174" t="s">
        <v>312</v>
      </c>
      <c r="I80" s="174"/>
      <c r="J80" s="174"/>
      <c r="K80" s="174" t="s">
        <v>313</v>
      </c>
      <c r="L80" s="174" t="s">
        <v>309</v>
      </c>
      <c r="M80" s="174" t="s">
        <v>238</v>
      </c>
      <c r="N80" s="174" t="s">
        <v>311</v>
      </c>
      <c r="O80" s="174" t="s">
        <v>310</v>
      </c>
      <c r="P80" s="174" t="s">
        <v>312</v>
      </c>
      <c r="Q80" s="174"/>
      <c r="R80" s="174"/>
      <c r="S80" s="174" t="s">
        <v>313</v>
      </c>
      <c r="T80" s="174" t="s">
        <v>309</v>
      </c>
      <c r="U80" s="174" t="s">
        <v>238</v>
      </c>
      <c r="V80" s="174" t="s">
        <v>311</v>
      </c>
      <c r="W80" s="174" t="s">
        <v>310</v>
      </c>
      <c r="X80" s="174" t="s">
        <v>312</v>
      </c>
      <c r="Y80" s="174"/>
      <c r="Z80" s="174"/>
      <c r="AA80" s="174" t="s">
        <v>313</v>
      </c>
      <c r="AB80" s="174" t="s">
        <v>309</v>
      </c>
      <c r="AC80" s="174" t="s">
        <v>238</v>
      </c>
      <c r="AD80" s="174" t="s">
        <v>311</v>
      </c>
      <c r="AE80" s="174" t="s">
        <v>310</v>
      </c>
      <c r="AF80" s="174" t="s">
        <v>312</v>
      </c>
      <c r="AG80" s="174"/>
      <c r="AH80" s="174"/>
      <c r="AI80" s="174" t="s">
        <v>313</v>
      </c>
      <c r="AJ80" s="174" t="s">
        <v>309</v>
      </c>
      <c r="AK80" s="174" t="s">
        <v>238</v>
      </c>
      <c r="AL80" s="174" t="s">
        <v>311</v>
      </c>
      <c r="AM80" s="174" t="s">
        <v>310</v>
      </c>
      <c r="AN80" s="174" t="s">
        <v>312</v>
      </c>
      <c r="AO80" s="174"/>
      <c r="AP80" s="174"/>
      <c r="AQ80" s="174" t="s">
        <v>313</v>
      </c>
      <c r="AR80" s="174" t="s">
        <v>309</v>
      </c>
      <c r="AS80" s="174" t="s">
        <v>238</v>
      </c>
      <c r="AT80" s="174" t="s">
        <v>310</v>
      </c>
      <c r="AU80" s="174" t="s">
        <v>311</v>
      </c>
      <c r="AV80" s="174" t="s">
        <v>312</v>
      </c>
    </row>
    <row r="81" spans="1:48" ht="11.25" customHeight="1" x14ac:dyDescent="0.2">
      <c r="A81" s="467" t="s">
        <v>39</v>
      </c>
      <c r="B81" s="173" t="s">
        <v>302</v>
      </c>
      <c r="C81" s="1">
        <v>15703</v>
      </c>
      <c r="D81" s="175">
        <v>302696</v>
      </c>
      <c r="E81" s="175">
        <v>8968</v>
      </c>
      <c r="F81" s="175">
        <v>3833</v>
      </c>
      <c r="G81" s="175">
        <v>17856</v>
      </c>
      <c r="H81" s="173">
        <v>2372</v>
      </c>
      <c r="I81" s="467" t="s">
        <v>40</v>
      </c>
      <c r="J81" s="173" t="s">
        <v>302</v>
      </c>
      <c r="K81" s="173">
        <v>551</v>
      </c>
      <c r="L81" s="175">
        <v>22103</v>
      </c>
      <c r="M81" s="175">
        <v>1071</v>
      </c>
      <c r="N81" s="175">
        <v>4078</v>
      </c>
      <c r="O81" s="175">
        <v>2140</v>
      </c>
      <c r="P81" s="173">
        <v>118</v>
      </c>
      <c r="Q81" s="467" t="s">
        <v>41</v>
      </c>
      <c r="R81" s="173" t="s">
        <v>302</v>
      </c>
      <c r="S81" s="173">
        <v>0</v>
      </c>
      <c r="T81" s="175">
        <v>0</v>
      </c>
      <c r="U81" s="175">
        <v>0</v>
      </c>
      <c r="V81" s="175">
        <v>0</v>
      </c>
      <c r="W81" s="175">
        <v>0</v>
      </c>
      <c r="X81" s="173">
        <v>0</v>
      </c>
      <c r="Y81" s="467" t="s">
        <v>314</v>
      </c>
      <c r="Z81" s="173" t="s">
        <v>302</v>
      </c>
      <c r="AA81" s="1">
        <v>3255</v>
      </c>
      <c r="AB81" s="175">
        <v>43680</v>
      </c>
      <c r="AC81" s="175">
        <v>1500</v>
      </c>
      <c r="AD81" s="175">
        <v>900</v>
      </c>
      <c r="AE81" s="175">
        <v>3300</v>
      </c>
      <c r="AF81" s="173">
        <v>423</v>
      </c>
      <c r="AG81" s="467" t="s">
        <v>42</v>
      </c>
      <c r="AH81" s="173" t="s">
        <v>302</v>
      </c>
      <c r="AI81" s="173">
        <v>823</v>
      </c>
      <c r="AJ81" s="175">
        <v>17613</v>
      </c>
      <c r="AK81" s="175">
        <v>832</v>
      </c>
      <c r="AL81" s="175">
        <v>3166</v>
      </c>
      <c r="AM81" s="175">
        <v>1664</v>
      </c>
      <c r="AN81" s="173">
        <v>104</v>
      </c>
      <c r="AO81" s="467" t="s">
        <v>315</v>
      </c>
      <c r="AP81" s="173" t="s">
        <v>302</v>
      </c>
      <c r="AQ81" s="173">
        <v>104</v>
      </c>
      <c r="AR81" s="175">
        <v>4536</v>
      </c>
      <c r="AS81" s="175">
        <v>208</v>
      </c>
      <c r="AT81" s="175">
        <v>833</v>
      </c>
      <c r="AU81" s="175">
        <v>442</v>
      </c>
      <c r="AV81" s="173">
        <v>29</v>
      </c>
    </row>
    <row r="82" spans="1:48" x14ac:dyDescent="0.2">
      <c r="A82" s="468"/>
      <c r="B82" s="173" t="s">
        <v>303</v>
      </c>
      <c r="C82" s="173">
        <v>8012</v>
      </c>
      <c r="D82" s="175">
        <v>86742</v>
      </c>
      <c r="E82" s="175">
        <v>2641</v>
      </c>
      <c r="F82" s="175">
        <v>1233</v>
      </c>
      <c r="G82" s="175">
        <v>5197</v>
      </c>
      <c r="H82" s="173">
        <v>454</v>
      </c>
      <c r="I82" s="468"/>
      <c r="J82" s="173" t="s">
        <v>303</v>
      </c>
      <c r="K82" s="173">
        <v>140</v>
      </c>
      <c r="L82" s="175">
        <v>1826</v>
      </c>
      <c r="M82" s="175">
        <v>82</v>
      </c>
      <c r="N82" s="175">
        <v>330</v>
      </c>
      <c r="O82" s="175">
        <v>162</v>
      </c>
      <c r="P82" s="173">
        <v>8</v>
      </c>
      <c r="Q82" s="468"/>
      <c r="R82" s="173" t="s">
        <v>303</v>
      </c>
      <c r="S82" s="173">
        <v>0</v>
      </c>
      <c r="T82" s="175">
        <v>0</v>
      </c>
      <c r="U82" s="175">
        <v>0</v>
      </c>
      <c r="V82" s="175">
        <v>0</v>
      </c>
      <c r="W82" s="175">
        <v>0</v>
      </c>
      <c r="X82" s="173">
        <v>0</v>
      </c>
      <c r="Y82" s="468"/>
      <c r="Z82" s="173" t="s">
        <v>303</v>
      </c>
      <c r="AA82" s="173">
        <v>1717</v>
      </c>
      <c r="AB82" s="175">
        <v>13030</v>
      </c>
      <c r="AC82" s="175">
        <v>477</v>
      </c>
      <c r="AD82" s="175">
        <v>230</v>
      </c>
      <c r="AE82" s="175">
        <v>960</v>
      </c>
      <c r="AF82" s="173">
        <v>96</v>
      </c>
      <c r="AG82" s="468"/>
      <c r="AH82" s="173" t="s">
        <v>303</v>
      </c>
      <c r="AI82" s="173">
        <v>651</v>
      </c>
      <c r="AJ82" s="175">
        <v>7571</v>
      </c>
      <c r="AK82" s="175">
        <v>372</v>
      </c>
      <c r="AL82" s="175">
        <v>1398</v>
      </c>
      <c r="AM82" s="175">
        <v>742</v>
      </c>
      <c r="AN82" s="173">
        <v>36</v>
      </c>
      <c r="AO82" s="468"/>
      <c r="AP82" s="173" t="s">
        <v>303</v>
      </c>
      <c r="AQ82" s="173">
        <v>55</v>
      </c>
      <c r="AR82" s="175">
        <v>633</v>
      </c>
      <c r="AS82" s="175">
        <v>31</v>
      </c>
      <c r="AT82" s="175">
        <v>116</v>
      </c>
      <c r="AU82" s="175">
        <v>64</v>
      </c>
      <c r="AV82" s="173">
        <v>3</v>
      </c>
    </row>
    <row r="83" spans="1:48" x14ac:dyDescent="0.2">
      <c r="A83" s="468"/>
      <c r="B83" s="173" t="s">
        <v>304</v>
      </c>
      <c r="C83" s="173">
        <v>5489</v>
      </c>
      <c r="D83" s="175">
        <v>59076</v>
      </c>
      <c r="E83" s="175">
        <v>1989</v>
      </c>
      <c r="F83" s="175">
        <v>918</v>
      </c>
      <c r="G83" s="175">
        <v>3913</v>
      </c>
      <c r="H83" s="173">
        <v>242</v>
      </c>
      <c r="I83" s="468"/>
      <c r="J83" s="173" t="s">
        <v>304</v>
      </c>
      <c r="K83" s="173">
        <v>134</v>
      </c>
      <c r="L83" s="175">
        <v>1711</v>
      </c>
      <c r="M83" s="175">
        <v>74</v>
      </c>
      <c r="N83" s="175">
        <v>309</v>
      </c>
      <c r="O83" s="175">
        <v>148</v>
      </c>
      <c r="P83" s="173">
        <v>6</v>
      </c>
      <c r="Q83" s="468"/>
      <c r="R83" s="173" t="s">
        <v>304</v>
      </c>
      <c r="S83" s="173">
        <v>0</v>
      </c>
      <c r="T83" s="175">
        <v>0</v>
      </c>
      <c r="U83" s="175">
        <v>0</v>
      </c>
      <c r="V83" s="175">
        <v>0</v>
      </c>
      <c r="W83" s="175">
        <v>0</v>
      </c>
      <c r="X83" s="173">
        <v>0</v>
      </c>
      <c r="Y83" s="468"/>
      <c r="Z83" s="173" t="s">
        <v>304</v>
      </c>
      <c r="AA83" s="173">
        <v>774</v>
      </c>
      <c r="AB83" s="175">
        <v>5758</v>
      </c>
      <c r="AC83" s="175">
        <v>167</v>
      </c>
      <c r="AD83" s="175">
        <v>80</v>
      </c>
      <c r="AE83" s="175">
        <v>345</v>
      </c>
      <c r="AF83" s="173">
        <v>34</v>
      </c>
      <c r="AG83" s="468"/>
      <c r="AH83" s="173" t="s">
        <v>304</v>
      </c>
      <c r="AI83" s="173">
        <v>335</v>
      </c>
      <c r="AJ83" s="175">
        <v>3970</v>
      </c>
      <c r="AK83" s="175">
        <v>186</v>
      </c>
      <c r="AL83" s="175">
        <v>727</v>
      </c>
      <c r="AM83" s="175">
        <v>374</v>
      </c>
      <c r="AN83" s="173">
        <v>15</v>
      </c>
      <c r="AO83" s="468"/>
      <c r="AP83" s="173" t="s">
        <v>304</v>
      </c>
      <c r="AQ83" s="173">
        <v>44</v>
      </c>
      <c r="AR83" s="175">
        <v>517</v>
      </c>
      <c r="AS83" s="175">
        <v>14</v>
      </c>
      <c r="AT83" s="175">
        <v>90</v>
      </c>
      <c r="AU83" s="175">
        <v>27</v>
      </c>
      <c r="AV83" s="173">
        <v>2</v>
      </c>
    </row>
    <row r="84" spans="1:48" x14ac:dyDescent="0.2">
      <c r="A84" s="468"/>
      <c r="B84" s="173" t="s">
        <v>305</v>
      </c>
      <c r="C84" s="173">
        <v>8200</v>
      </c>
      <c r="D84" s="175">
        <v>88537</v>
      </c>
      <c r="E84" s="175">
        <v>2663</v>
      </c>
      <c r="F84" s="175">
        <v>1244</v>
      </c>
      <c r="G84" s="175">
        <v>5286</v>
      </c>
      <c r="H84" s="173">
        <v>266</v>
      </c>
      <c r="I84" s="468"/>
      <c r="J84" s="173" t="s">
        <v>305</v>
      </c>
      <c r="K84" s="173">
        <v>424</v>
      </c>
      <c r="L84" s="175">
        <v>5424</v>
      </c>
      <c r="M84" s="175">
        <v>199</v>
      </c>
      <c r="N84" s="175">
        <v>901</v>
      </c>
      <c r="O84" s="175">
        <v>397</v>
      </c>
      <c r="P84" s="173">
        <v>13</v>
      </c>
      <c r="Q84" s="468"/>
      <c r="R84" s="173" t="s">
        <v>305</v>
      </c>
      <c r="S84" s="173">
        <v>33</v>
      </c>
      <c r="T84" s="175">
        <v>810</v>
      </c>
      <c r="U84" s="175">
        <v>41</v>
      </c>
      <c r="V84" s="175">
        <v>150</v>
      </c>
      <c r="W84" s="175">
        <v>81</v>
      </c>
      <c r="X84" s="173">
        <v>1</v>
      </c>
      <c r="Y84" s="468"/>
      <c r="Z84" s="173" t="s">
        <v>305</v>
      </c>
      <c r="AA84" s="173">
        <v>1866</v>
      </c>
      <c r="AB84" s="9">
        <v>14884</v>
      </c>
      <c r="AC84" s="9">
        <v>534</v>
      </c>
      <c r="AD84" s="9">
        <v>259</v>
      </c>
      <c r="AE84" s="9">
        <v>1086</v>
      </c>
      <c r="AF84" s="173">
        <v>61</v>
      </c>
      <c r="AG84" s="468"/>
      <c r="AH84" s="173" t="s">
        <v>305</v>
      </c>
      <c r="AI84" s="173">
        <v>758</v>
      </c>
      <c r="AJ84" s="175">
        <v>8616</v>
      </c>
      <c r="AK84" s="175">
        <v>396</v>
      </c>
      <c r="AL84" s="175">
        <v>1512</v>
      </c>
      <c r="AM84" s="175">
        <v>796</v>
      </c>
      <c r="AN84" s="173">
        <v>24</v>
      </c>
      <c r="AO84" s="468"/>
      <c r="AP84" s="173" t="s">
        <v>305</v>
      </c>
      <c r="AQ84" s="173">
        <v>61</v>
      </c>
      <c r="AR84" s="175">
        <v>755</v>
      </c>
      <c r="AS84" s="175">
        <v>38</v>
      </c>
      <c r="AT84" s="175">
        <v>139</v>
      </c>
      <c r="AU84" s="175">
        <v>76</v>
      </c>
      <c r="AV84" s="173">
        <v>2</v>
      </c>
    </row>
    <row r="85" spans="1:48" x14ac:dyDescent="0.2">
      <c r="A85" s="468"/>
      <c r="B85" s="173" t="s">
        <v>306</v>
      </c>
      <c r="C85" s="173">
        <v>2364</v>
      </c>
      <c r="D85" s="175">
        <v>25528</v>
      </c>
      <c r="E85" s="175">
        <v>617</v>
      </c>
      <c r="F85" s="175">
        <v>294</v>
      </c>
      <c r="G85" s="175">
        <v>1219</v>
      </c>
      <c r="H85" s="173">
        <v>53</v>
      </c>
      <c r="I85" s="468"/>
      <c r="J85" s="173" t="s">
        <v>306</v>
      </c>
      <c r="K85" s="173">
        <v>84</v>
      </c>
      <c r="L85" s="175">
        <v>1060</v>
      </c>
      <c r="M85" s="175">
        <v>53</v>
      </c>
      <c r="N85" s="175">
        <v>195</v>
      </c>
      <c r="O85" s="175">
        <v>106</v>
      </c>
      <c r="P85" s="173">
        <v>2</v>
      </c>
      <c r="Q85" s="468"/>
      <c r="R85" s="173" t="s">
        <v>306</v>
      </c>
      <c r="S85" s="173">
        <v>141</v>
      </c>
      <c r="T85" s="175">
        <v>3365</v>
      </c>
      <c r="U85" s="175">
        <v>168</v>
      </c>
      <c r="V85" s="175">
        <v>619</v>
      </c>
      <c r="W85" s="175">
        <v>337</v>
      </c>
      <c r="X85" s="173">
        <v>3</v>
      </c>
      <c r="Y85" s="468"/>
      <c r="Z85" s="173" t="s">
        <v>306</v>
      </c>
      <c r="AA85" s="173">
        <v>499</v>
      </c>
      <c r="AB85" s="175">
        <v>4468</v>
      </c>
      <c r="AC85" s="175">
        <v>139</v>
      </c>
      <c r="AD85" s="175">
        <v>66</v>
      </c>
      <c r="AE85" s="175">
        <v>280</v>
      </c>
      <c r="AF85" s="173">
        <v>11</v>
      </c>
      <c r="AG85" s="468"/>
      <c r="AH85" s="173" t="s">
        <v>306</v>
      </c>
      <c r="AI85" s="173">
        <v>226</v>
      </c>
      <c r="AJ85" s="175">
        <v>2663</v>
      </c>
      <c r="AK85" s="175">
        <v>84</v>
      </c>
      <c r="AL85" s="175">
        <v>467</v>
      </c>
      <c r="AM85" s="175">
        <v>167</v>
      </c>
      <c r="AN85" s="173">
        <v>5</v>
      </c>
      <c r="AO85" s="468"/>
      <c r="AP85" s="173" t="s">
        <v>306</v>
      </c>
      <c r="AQ85" s="173">
        <v>138</v>
      </c>
      <c r="AR85" s="175">
        <v>1724</v>
      </c>
      <c r="AS85" s="175">
        <v>86</v>
      </c>
      <c r="AT85" s="175">
        <v>317</v>
      </c>
      <c r="AU85" s="175">
        <v>173</v>
      </c>
      <c r="AV85" s="173">
        <v>3</v>
      </c>
    </row>
    <row r="86" spans="1:48" x14ac:dyDescent="0.2">
      <c r="A86" s="468"/>
      <c r="B86" s="173" t="s">
        <v>307</v>
      </c>
      <c r="C86" s="173">
        <v>1001</v>
      </c>
      <c r="D86" s="175">
        <v>10939</v>
      </c>
      <c r="E86" s="175">
        <v>272</v>
      </c>
      <c r="F86" s="175">
        <v>129</v>
      </c>
      <c r="G86" s="175">
        <v>542</v>
      </c>
      <c r="H86" s="173">
        <v>18</v>
      </c>
      <c r="I86" s="468"/>
      <c r="J86" s="173" t="s">
        <v>307</v>
      </c>
      <c r="K86" s="173">
        <v>59</v>
      </c>
      <c r="L86" s="175">
        <v>767</v>
      </c>
      <c r="M86" s="175">
        <v>38</v>
      </c>
      <c r="N86" s="175">
        <v>141</v>
      </c>
      <c r="O86" s="175">
        <v>77</v>
      </c>
      <c r="P86" s="173">
        <v>1</v>
      </c>
      <c r="Q86" s="468"/>
      <c r="R86" s="173" t="s">
        <v>307</v>
      </c>
      <c r="S86" s="173">
        <v>0</v>
      </c>
      <c r="T86" s="175">
        <v>0</v>
      </c>
      <c r="U86" s="175">
        <v>0</v>
      </c>
      <c r="V86" s="175">
        <v>0</v>
      </c>
      <c r="W86" s="175">
        <v>0</v>
      </c>
      <c r="X86" s="173">
        <v>0</v>
      </c>
      <c r="Y86" s="468"/>
      <c r="Z86" s="173" t="s">
        <v>307</v>
      </c>
      <c r="AA86" s="173">
        <v>226</v>
      </c>
      <c r="AB86" s="175">
        <v>1945</v>
      </c>
      <c r="AC86" s="175">
        <v>74</v>
      </c>
      <c r="AD86" s="175">
        <v>35</v>
      </c>
      <c r="AE86" s="175">
        <v>149</v>
      </c>
      <c r="AF86" s="173">
        <v>4</v>
      </c>
      <c r="AG86" s="468"/>
      <c r="AH86" s="173" t="s">
        <v>307</v>
      </c>
      <c r="AI86" s="173">
        <v>56</v>
      </c>
      <c r="AJ86" s="175">
        <v>642</v>
      </c>
      <c r="AK86" s="175">
        <v>33</v>
      </c>
      <c r="AL86" s="175">
        <v>118</v>
      </c>
      <c r="AM86" s="175">
        <v>64</v>
      </c>
      <c r="AN86" s="173">
        <v>1</v>
      </c>
      <c r="AO86" s="468"/>
      <c r="AP86" s="173" t="s">
        <v>307</v>
      </c>
      <c r="AQ86" s="173">
        <v>110</v>
      </c>
      <c r="AR86" s="175">
        <v>1045</v>
      </c>
      <c r="AS86" s="175">
        <v>52</v>
      </c>
      <c r="AT86" s="175">
        <v>193</v>
      </c>
      <c r="AU86" s="175">
        <v>105</v>
      </c>
      <c r="AV86" s="173">
        <v>2</v>
      </c>
    </row>
    <row r="87" spans="1:48" x14ac:dyDescent="0.2">
      <c r="A87" s="469"/>
      <c r="B87" s="173" t="s">
        <v>308</v>
      </c>
      <c r="C87" s="173">
        <v>1720</v>
      </c>
      <c r="D87" s="175">
        <v>10661</v>
      </c>
      <c r="E87" s="175">
        <v>548</v>
      </c>
      <c r="F87" s="175">
        <v>243</v>
      </c>
      <c r="G87" s="175">
        <v>1090</v>
      </c>
      <c r="H87" s="173">
        <v>15</v>
      </c>
      <c r="I87" s="469"/>
      <c r="J87" s="173" t="s">
        <v>308</v>
      </c>
      <c r="K87" s="173">
        <v>447</v>
      </c>
      <c r="L87" s="175">
        <v>5852</v>
      </c>
      <c r="M87" s="175">
        <v>176</v>
      </c>
      <c r="N87" s="175">
        <v>1020</v>
      </c>
      <c r="O87" s="175">
        <v>353</v>
      </c>
      <c r="P87" s="173">
        <v>3</v>
      </c>
      <c r="Q87" s="469"/>
      <c r="R87" s="173" t="s">
        <v>308</v>
      </c>
      <c r="S87" s="173">
        <v>978</v>
      </c>
      <c r="T87" s="175">
        <v>25427</v>
      </c>
      <c r="U87" s="175">
        <v>784</v>
      </c>
      <c r="V87" s="175">
        <v>4444</v>
      </c>
      <c r="W87" s="175">
        <v>1566</v>
      </c>
      <c r="X87" s="173">
        <v>9</v>
      </c>
      <c r="Y87" s="469"/>
      <c r="Z87" s="173" t="s">
        <v>308</v>
      </c>
      <c r="AA87" s="173">
        <v>769</v>
      </c>
      <c r="AB87" s="175">
        <v>6925</v>
      </c>
      <c r="AC87" s="175">
        <v>179</v>
      </c>
      <c r="AD87" s="175">
        <v>87</v>
      </c>
      <c r="AE87" s="175">
        <v>358</v>
      </c>
      <c r="AF87" s="173">
        <v>9</v>
      </c>
      <c r="AG87" s="469"/>
      <c r="AH87" s="173" t="s">
        <v>308</v>
      </c>
      <c r="AI87" s="173">
        <v>372</v>
      </c>
      <c r="AJ87" s="175">
        <v>4573</v>
      </c>
      <c r="AK87" s="175">
        <v>86</v>
      </c>
      <c r="AL87" s="175">
        <v>774</v>
      </c>
      <c r="AM87" s="175">
        <v>175</v>
      </c>
      <c r="AN87" s="173">
        <v>4</v>
      </c>
      <c r="AO87" s="469"/>
      <c r="AP87" s="173" t="s">
        <v>308</v>
      </c>
      <c r="AQ87" s="173">
        <v>622</v>
      </c>
      <c r="AR87" s="175">
        <v>3334</v>
      </c>
      <c r="AS87" s="175">
        <v>258</v>
      </c>
      <c r="AT87" s="175">
        <v>657</v>
      </c>
      <c r="AU87" s="175">
        <v>520</v>
      </c>
      <c r="AV87" s="173">
        <v>6</v>
      </c>
    </row>
    <row r="88" spans="1:48" x14ac:dyDescent="0.2">
      <c r="C88" s="173">
        <f t="shared" ref="C88:H88" si="45">SUM(C81:C87)</f>
        <v>42489</v>
      </c>
      <c r="D88" s="176">
        <f t="shared" si="45"/>
        <v>584179</v>
      </c>
      <c r="E88" s="176">
        <f t="shared" si="45"/>
        <v>17698</v>
      </c>
      <c r="F88" s="176">
        <f t="shared" si="45"/>
        <v>7894</v>
      </c>
      <c r="G88" s="176">
        <f t="shared" si="45"/>
        <v>35103</v>
      </c>
      <c r="H88" s="173">
        <f t="shared" si="45"/>
        <v>3420</v>
      </c>
      <c r="K88" s="173">
        <f t="shared" ref="K88:P88" si="46">SUM(K81:K87)</f>
        <v>1839</v>
      </c>
      <c r="L88" s="176">
        <f t="shared" si="46"/>
        <v>38743</v>
      </c>
      <c r="M88" s="176">
        <f t="shared" si="46"/>
        <v>1693</v>
      </c>
      <c r="N88" s="176">
        <f t="shared" si="46"/>
        <v>6974</v>
      </c>
      <c r="O88" s="176">
        <f t="shared" si="46"/>
        <v>3383</v>
      </c>
      <c r="P88" s="173">
        <f t="shared" si="46"/>
        <v>151</v>
      </c>
      <c r="S88" s="173">
        <f t="shared" ref="S88:X88" si="47">SUM(S81:S87)</f>
        <v>1152</v>
      </c>
      <c r="T88" s="176">
        <f t="shared" si="47"/>
        <v>29602</v>
      </c>
      <c r="U88" s="176">
        <f t="shared" si="47"/>
        <v>993</v>
      </c>
      <c r="V88" s="176">
        <f t="shared" si="47"/>
        <v>5213</v>
      </c>
      <c r="W88" s="176">
        <f t="shared" si="47"/>
        <v>1984</v>
      </c>
      <c r="X88" s="173">
        <f t="shared" si="47"/>
        <v>13</v>
      </c>
      <c r="AA88" s="173">
        <f t="shared" ref="AA88:AF88" si="48">SUM(AA81:AA87)</f>
        <v>9106</v>
      </c>
      <c r="AB88" s="176">
        <f t="shared" si="48"/>
        <v>90690</v>
      </c>
      <c r="AC88" s="176">
        <f t="shared" si="48"/>
        <v>3070</v>
      </c>
      <c r="AD88" s="176">
        <f t="shared" si="48"/>
        <v>1657</v>
      </c>
      <c r="AE88" s="176">
        <f t="shared" si="48"/>
        <v>6478</v>
      </c>
      <c r="AF88" s="173">
        <f t="shared" si="48"/>
        <v>638</v>
      </c>
      <c r="AI88" s="173">
        <f t="shared" ref="AI88:AN88" si="49">SUM(AI81:AI87)</f>
        <v>3221</v>
      </c>
      <c r="AJ88" s="176">
        <f t="shared" si="49"/>
        <v>45648</v>
      </c>
      <c r="AK88" s="176">
        <f t="shared" si="49"/>
        <v>1989</v>
      </c>
      <c r="AL88" s="176">
        <f t="shared" si="49"/>
        <v>8162</v>
      </c>
      <c r="AM88" s="176">
        <f t="shared" si="49"/>
        <v>3982</v>
      </c>
      <c r="AN88" s="173">
        <f t="shared" si="49"/>
        <v>189</v>
      </c>
      <c r="AQ88" s="173">
        <f t="shared" ref="AQ88:AV88" si="50">SUM(AQ81:AQ87)</f>
        <v>1134</v>
      </c>
      <c r="AR88" s="176">
        <f t="shared" si="50"/>
        <v>12544</v>
      </c>
      <c r="AS88" s="176">
        <f t="shared" si="50"/>
        <v>687</v>
      </c>
      <c r="AT88" s="176">
        <f t="shared" si="50"/>
        <v>2345</v>
      </c>
      <c r="AU88" s="176">
        <f t="shared" si="50"/>
        <v>1407</v>
      </c>
      <c r="AV88" s="173">
        <f t="shared" si="50"/>
        <v>47</v>
      </c>
    </row>
    <row r="90" spans="1:48" x14ac:dyDescent="0.2">
      <c r="L90" s="173">
        <f>+C88+K88+S88+AA88+AI88+AQ88</f>
        <v>58941</v>
      </c>
    </row>
    <row r="91" spans="1:48" ht="22.5" x14ac:dyDescent="0.2">
      <c r="A91" s="174" t="s">
        <v>12</v>
      </c>
      <c r="B91" s="174"/>
      <c r="C91" s="174" t="s">
        <v>313</v>
      </c>
      <c r="D91" s="174" t="s">
        <v>309</v>
      </c>
      <c r="E91" s="174" t="s">
        <v>238</v>
      </c>
      <c r="F91" s="174" t="s">
        <v>311</v>
      </c>
      <c r="G91" s="174" t="s">
        <v>310</v>
      </c>
      <c r="H91" s="174" t="s">
        <v>312</v>
      </c>
      <c r="I91" s="174"/>
      <c r="J91" s="174"/>
      <c r="K91" s="174" t="s">
        <v>313</v>
      </c>
      <c r="L91" s="174" t="s">
        <v>309</v>
      </c>
      <c r="M91" s="174" t="s">
        <v>238</v>
      </c>
      <c r="N91" s="174" t="s">
        <v>311</v>
      </c>
      <c r="O91" s="174" t="s">
        <v>310</v>
      </c>
      <c r="P91" s="174" t="s">
        <v>312</v>
      </c>
      <c r="Q91" s="174"/>
      <c r="R91" s="174"/>
      <c r="S91" s="174" t="s">
        <v>313</v>
      </c>
      <c r="T91" s="174" t="s">
        <v>309</v>
      </c>
      <c r="U91" s="174" t="s">
        <v>238</v>
      </c>
      <c r="V91" s="174" t="s">
        <v>311</v>
      </c>
      <c r="W91" s="174" t="s">
        <v>310</v>
      </c>
      <c r="X91" s="174" t="s">
        <v>312</v>
      </c>
      <c r="Y91" s="174"/>
      <c r="Z91" s="174"/>
      <c r="AA91" s="174" t="s">
        <v>313</v>
      </c>
      <c r="AB91" s="174" t="s">
        <v>309</v>
      </c>
      <c r="AC91" s="174" t="s">
        <v>238</v>
      </c>
      <c r="AD91" s="174" t="s">
        <v>311</v>
      </c>
      <c r="AE91" s="174" t="s">
        <v>310</v>
      </c>
      <c r="AF91" s="174" t="s">
        <v>312</v>
      </c>
      <c r="AG91" s="174"/>
      <c r="AH91" s="174"/>
      <c r="AI91" s="174" t="s">
        <v>313</v>
      </c>
      <c r="AJ91" s="174" t="s">
        <v>309</v>
      </c>
      <c r="AK91" s="174" t="s">
        <v>238</v>
      </c>
      <c r="AL91" s="174" t="s">
        <v>311</v>
      </c>
      <c r="AM91" s="174" t="s">
        <v>310</v>
      </c>
      <c r="AN91" s="174" t="s">
        <v>312</v>
      </c>
      <c r="AO91" s="174"/>
      <c r="AP91" s="174"/>
      <c r="AQ91" s="174" t="s">
        <v>313</v>
      </c>
      <c r="AR91" s="174" t="s">
        <v>309</v>
      </c>
      <c r="AS91" s="174" t="s">
        <v>238</v>
      </c>
      <c r="AT91" s="174" t="s">
        <v>310</v>
      </c>
      <c r="AU91" s="174" t="s">
        <v>311</v>
      </c>
      <c r="AV91" s="174" t="s">
        <v>312</v>
      </c>
    </row>
    <row r="92" spans="1:48" x14ac:dyDescent="0.2">
      <c r="A92" s="467" t="s">
        <v>39</v>
      </c>
      <c r="B92" s="173" t="s">
        <v>302</v>
      </c>
      <c r="C92" s="1">
        <v>18229</v>
      </c>
      <c r="D92" s="175">
        <v>372076.77</v>
      </c>
      <c r="E92" s="175"/>
      <c r="F92" s="175"/>
      <c r="G92" s="175"/>
      <c r="H92" s="173">
        <v>2412</v>
      </c>
      <c r="I92" s="467" t="s">
        <v>40</v>
      </c>
      <c r="J92" s="173" t="s">
        <v>302</v>
      </c>
      <c r="K92" s="173">
        <v>551</v>
      </c>
      <c r="L92" s="175">
        <v>22103</v>
      </c>
      <c r="M92" s="175">
        <v>1071</v>
      </c>
      <c r="N92" s="175">
        <v>4078</v>
      </c>
      <c r="O92" s="175">
        <v>2140</v>
      </c>
      <c r="P92" s="173">
        <v>118</v>
      </c>
      <c r="Q92" s="467" t="s">
        <v>41</v>
      </c>
      <c r="R92" s="173" t="s">
        <v>302</v>
      </c>
      <c r="S92" s="173">
        <v>0</v>
      </c>
      <c r="T92" s="175">
        <v>0</v>
      </c>
      <c r="U92" s="175">
        <v>0</v>
      </c>
      <c r="V92" s="175">
        <v>0</v>
      </c>
      <c r="W92" s="175">
        <v>0</v>
      </c>
      <c r="X92" s="173">
        <v>0</v>
      </c>
      <c r="Y92" s="467" t="s">
        <v>314</v>
      </c>
      <c r="Z92" s="173" t="s">
        <v>302</v>
      </c>
      <c r="AA92" s="1">
        <v>3255</v>
      </c>
      <c r="AB92" s="175">
        <v>43680</v>
      </c>
      <c r="AC92" s="175">
        <v>1500</v>
      </c>
      <c r="AD92" s="175">
        <v>900</v>
      </c>
      <c r="AE92" s="175">
        <v>3300</v>
      </c>
      <c r="AF92" s="173">
        <v>423</v>
      </c>
      <c r="AG92" s="467" t="s">
        <v>42</v>
      </c>
      <c r="AH92" s="173" t="s">
        <v>302</v>
      </c>
      <c r="AI92" s="173">
        <v>823</v>
      </c>
      <c r="AJ92" s="175">
        <v>17613</v>
      </c>
      <c r="AK92" s="175">
        <v>832</v>
      </c>
      <c r="AL92" s="175">
        <v>3166</v>
      </c>
      <c r="AM92" s="175">
        <v>1664</v>
      </c>
      <c r="AN92" s="173">
        <v>104</v>
      </c>
      <c r="AO92" s="467" t="s">
        <v>315</v>
      </c>
      <c r="AP92" s="173" t="s">
        <v>302</v>
      </c>
      <c r="AQ92" s="173">
        <v>104</v>
      </c>
      <c r="AR92" s="175">
        <v>4536</v>
      </c>
      <c r="AS92" s="175">
        <v>208</v>
      </c>
      <c r="AT92" s="175">
        <v>833</v>
      </c>
      <c r="AU92" s="175">
        <v>442</v>
      </c>
      <c r="AV92" s="173">
        <v>29</v>
      </c>
    </row>
    <row r="93" spans="1:48" x14ac:dyDescent="0.2">
      <c r="A93" s="468"/>
      <c r="B93" s="173" t="s">
        <v>303</v>
      </c>
      <c r="C93" s="173">
        <v>8492</v>
      </c>
      <c r="D93" s="175">
        <v>95029.36</v>
      </c>
      <c r="E93" s="175"/>
      <c r="F93" s="175"/>
      <c r="G93" s="175"/>
      <c r="H93" s="173">
        <v>480</v>
      </c>
      <c r="I93" s="468"/>
      <c r="J93" s="173" t="s">
        <v>303</v>
      </c>
      <c r="K93" s="173">
        <v>140</v>
      </c>
      <c r="L93" s="175">
        <v>1826</v>
      </c>
      <c r="M93" s="175">
        <v>82</v>
      </c>
      <c r="N93" s="175">
        <v>330</v>
      </c>
      <c r="O93" s="175">
        <v>162</v>
      </c>
      <c r="P93" s="173">
        <v>8</v>
      </c>
      <c r="Q93" s="468"/>
      <c r="R93" s="173" t="s">
        <v>303</v>
      </c>
      <c r="S93" s="173">
        <v>0</v>
      </c>
      <c r="T93" s="175">
        <v>0</v>
      </c>
      <c r="U93" s="175">
        <v>0</v>
      </c>
      <c r="V93" s="175">
        <v>0</v>
      </c>
      <c r="W93" s="175">
        <v>0</v>
      </c>
      <c r="X93" s="173">
        <v>0</v>
      </c>
      <c r="Y93" s="468"/>
      <c r="Z93" s="173" t="s">
        <v>303</v>
      </c>
      <c r="AA93" s="173">
        <v>1717</v>
      </c>
      <c r="AB93" s="175">
        <v>13030</v>
      </c>
      <c r="AC93" s="175">
        <v>477</v>
      </c>
      <c r="AD93" s="175">
        <v>230</v>
      </c>
      <c r="AE93" s="175">
        <v>960</v>
      </c>
      <c r="AF93" s="173">
        <v>96</v>
      </c>
      <c r="AG93" s="468"/>
      <c r="AH93" s="173" t="s">
        <v>303</v>
      </c>
      <c r="AI93" s="173">
        <v>651</v>
      </c>
      <c r="AJ93" s="175">
        <v>7571</v>
      </c>
      <c r="AK93" s="175">
        <v>372</v>
      </c>
      <c r="AL93" s="175">
        <v>1398</v>
      </c>
      <c r="AM93" s="175">
        <v>742</v>
      </c>
      <c r="AN93" s="173">
        <v>36</v>
      </c>
      <c r="AO93" s="468"/>
      <c r="AP93" s="173" t="s">
        <v>303</v>
      </c>
      <c r="AQ93" s="173">
        <v>55</v>
      </c>
      <c r="AR93" s="175">
        <v>633</v>
      </c>
      <c r="AS93" s="175">
        <v>31</v>
      </c>
      <c r="AT93" s="175">
        <v>116</v>
      </c>
      <c r="AU93" s="175">
        <v>64</v>
      </c>
      <c r="AV93" s="173">
        <v>3</v>
      </c>
    </row>
    <row r="94" spans="1:48" x14ac:dyDescent="0.2">
      <c r="A94" s="468"/>
      <c r="B94" s="173" t="s">
        <v>304</v>
      </c>
      <c r="C94" s="173">
        <v>5044</v>
      </c>
      <c r="D94" s="175">
        <v>56549.120000000003</v>
      </c>
      <c r="E94" s="175"/>
      <c r="F94" s="175"/>
      <c r="G94" s="175"/>
      <c r="H94" s="173">
        <v>222</v>
      </c>
      <c r="I94" s="468"/>
      <c r="J94" s="173" t="s">
        <v>304</v>
      </c>
      <c r="K94" s="173">
        <v>134</v>
      </c>
      <c r="L94" s="175">
        <v>1711</v>
      </c>
      <c r="M94" s="175">
        <v>74</v>
      </c>
      <c r="N94" s="175">
        <v>309</v>
      </c>
      <c r="O94" s="175">
        <v>148</v>
      </c>
      <c r="P94" s="173">
        <v>6</v>
      </c>
      <c r="Q94" s="468"/>
      <c r="R94" s="173" t="s">
        <v>304</v>
      </c>
      <c r="S94" s="173">
        <v>0</v>
      </c>
      <c r="T94" s="175">
        <v>0</v>
      </c>
      <c r="U94" s="175">
        <v>0</v>
      </c>
      <c r="V94" s="175">
        <v>0</v>
      </c>
      <c r="W94" s="175">
        <v>0</v>
      </c>
      <c r="X94" s="173">
        <v>0</v>
      </c>
      <c r="Y94" s="468"/>
      <c r="Z94" s="173" t="s">
        <v>304</v>
      </c>
      <c r="AA94" s="173">
        <v>774</v>
      </c>
      <c r="AB94" s="175">
        <v>5758</v>
      </c>
      <c r="AC94" s="175">
        <v>167</v>
      </c>
      <c r="AD94" s="175">
        <v>80</v>
      </c>
      <c r="AE94" s="175">
        <v>345</v>
      </c>
      <c r="AF94" s="173">
        <v>34</v>
      </c>
      <c r="AG94" s="468"/>
      <c r="AH94" s="173" t="s">
        <v>304</v>
      </c>
      <c r="AI94" s="173">
        <v>335</v>
      </c>
      <c r="AJ94" s="175">
        <v>3970</v>
      </c>
      <c r="AK94" s="175">
        <v>186</v>
      </c>
      <c r="AL94" s="175">
        <v>727</v>
      </c>
      <c r="AM94" s="175">
        <v>374</v>
      </c>
      <c r="AN94" s="173">
        <v>15</v>
      </c>
      <c r="AO94" s="468"/>
      <c r="AP94" s="173" t="s">
        <v>304</v>
      </c>
      <c r="AQ94" s="173">
        <v>44</v>
      </c>
      <c r="AR94" s="175">
        <v>517</v>
      </c>
      <c r="AS94" s="175">
        <v>14</v>
      </c>
      <c r="AT94" s="175">
        <v>90</v>
      </c>
      <c r="AU94" s="175">
        <v>27</v>
      </c>
      <c r="AV94" s="173">
        <v>2</v>
      </c>
    </row>
    <row r="95" spans="1:48" x14ac:dyDescent="0.2">
      <c r="A95" s="468"/>
      <c r="B95" s="173" t="s">
        <v>305</v>
      </c>
      <c r="C95" s="173">
        <v>5156</v>
      </c>
      <c r="D95" s="175">
        <v>63882.02</v>
      </c>
      <c r="E95" s="175"/>
      <c r="F95" s="175"/>
      <c r="G95" s="175"/>
      <c r="H95" s="173">
        <v>170</v>
      </c>
      <c r="I95" s="468"/>
      <c r="J95" s="173" t="s">
        <v>305</v>
      </c>
      <c r="K95" s="173">
        <v>424</v>
      </c>
      <c r="L95" s="175">
        <v>5424</v>
      </c>
      <c r="M95" s="175">
        <v>199</v>
      </c>
      <c r="N95" s="175">
        <v>901</v>
      </c>
      <c r="O95" s="175">
        <v>397</v>
      </c>
      <c r="P95" s="173">
        <v>13</v>
      </c>
      <c r="Q95" s="468"/>
      <c r="R95" s="173" t="s">
        <v>305</v>
      </c>
      <c r="S95" s="173">
        <v>33</v>
      </c>
      <c r="T95" s="175">
        <v>810</v>
      </c>
      <c r="U95" s="175">
        <v>41</v>
      </c>
      <c r="V95" s="175">
        <v>150</v>
      </c>
      <c r="W95" s="175">
        <v>81</v>
      </c>
      <c r="X95" s="173">
        <v>1</v>
      </c>
      <c r="Y95" s="468"/>
      <c r="Z95" s="173" t="s">
        <v>305</v>
      </c>
      <c r="AA95" s="173">
        <v>1866</v>
      </c>
      <c r="AB95" s="9">
        <v>14884</v>
      </c>
      <c r="AC95" s="9">
        <v>534</v>
      </c>
      <c r="AD95" s="9">
        <v>259</v>
      </c>
      <c r="AE95" s="9">
        <v>1086</v>
      </c>
      <c r="AF95" s="173">
        <v>61</v>
      </c>
      <c r="AG95" s="468"/>
      <c r="AH95" s="173" t="s">
        <v>305</v>
      </c>
      <c r="AI95" s="173">
        <v>758</v>
      </c>
      <c r="AJ95" s="175">
        <v>8616</v>
      </c>
      <c r="AK95" s="175">
        <v>396</v>
      </c>
      <c r="AL95" s="175">
        <v>1512</v>
      </c>
      <c r="AM95" s="175">
        <v>796</v>
      </c>
      <c r="AN95" s="173">
        <v>24</v>
      </c>
      <c r="AO95" s="468"/>
      <c r="AP95" s="173" t="s">
        <v>305</v>
      </c>
      <c r="AQ95" s="173">
        <v>61</v>
      </c>
      <c r="AR95" s="175">
        <v>755</v>
      </c>
      <c r="AS95" s="175">
        <v>38</v>
      </c>
      <c r="AT95" s="175">
        <v>139</v>
      </c>
      <c r="AU95" s="175">
        <v>76</v>
      </c>
      <c r="AV95" s="173">
        <v>2</v>
      </c>
    </row>
    <row r="96" spans="1:48" x14ac:dyDescent="0.2">
      <c r="A96" s="468"/>
      <c r="B96" s="173" t="s">
        <v>306</v>
      </c>
      <c r="C96" s="173">
        <v>897</v>
      </c>
      <c r="D96" s="175">
        <v>11295</v>
      </c>
      <c r="E96" s="175"/>
      <c r="F96" s="175"/>
      <c r="G96" s="175"/>
      <c r="H96" s="173">
        <v>20</v>
      </c>
      <c r="I96" s="468"/>
      <c r="J96" s="173" t="s">
        <v>306</v>
      </c>
      <c r="K96" s="173">
        <v>84</v>
      </c>
      <c r="L96" s="175">
        <v>1060</v>
      </c>
      <c r="M96" s="175">
        <v>53</v>
      </c>
      <c r="N96" s="175">
        <v>195</v>
      </c>
      <c r="O96" s="175">
        <v>106</v>
      </c>
      <c r="P96" s="173">
        <v>2</v>
      </c>
      <c r="Q96" s="468"/>
      <c r="R96" s="173" t="s">
        <v>306</v>
      </c>
      <c r="S96" s="173">
        <v>141</v>
      </c>
      <c r="T96" s="175">
        <v>3365</v>
      </c>
      <c r="U96" s="175">
        <v>168</v>
      </c>
      <c r="V96" s="175">
        <v>619</v>
      </c>
      <c r="W96" s="175">
        <v>337</v>
      </c>
      <c r="X96" s="173">
        <v>3</v>
      </c>
      <c r="Y96" s="468"/>
      <c r="Z96" s="173" t="s">
        <v>306</v>
      </c>
      <c r="AA96" s="173">
        <v>499</v>
      </c>
      <c r="AB96" s="175">
        <v>4468</v>
      </c>
      <c r="AC96" s="175">
        <v>139</v>
      </c>
      <c r="AD96" s="175">
        <v>66</v>
      </c>
      <c r="AE96" s="175">
        <v>280</v>
      </c>
      <c r="AF96" s="173">
        <v>11</v>
      </c>
      <c r="AG96" s="468"/>
      <c r="AH96" s="173" t="s">
        <v>306</v>
      </c>
      <c r="AI96" s="173">
        <v>226</v>
      </c>
      <c r="AJ96" s="175">
        <v>2663</v>
      </c>
      <c r="AK96" s="175">
        <v>84</v>
      </c>
      <c r="AL96" s="175">
        <v>467</v>
      </c>
      <c r="AM96" s="175">
        <v>167</v>
      </c>
      <c r="AN96" s="173">
        <v>5</v>
      </c>
      <c r="AO96" s="468"/>
      <c r="AP96" s="173" t="s">
        <v>306</v>
      </c>
      <c r="AQ96" s="173">
        <v>138</v>
      </c>
      <c r="AR96" s="175">
        <v>1724</v>
      </c>
      <c r="AS96" s="175">
        <v>86</v>
      </c>
      <c r="AT96" s="175">
        <v>317</v>
      </c>
      <c r="AU96" s="175">
        <v>173</v>
      </c>
      <c r="AV96" s="173">
        <v>3</v>
      </c>
    </row>
    <row r="97" spans="1:48" x14ac:dyDescent="0.2">
      <c r="A97" s="468"/>
      <c r="B97" s="173" t="s">
        <v>307</v>
      </c>
      <c r="C97" s="173">
        <v>278</v>
      </c>
      <c r="D97" s="175">
        <v>3472.02</v>
      </c>
      <c r="E97" s="175"/>
      <c r="F97" s="175"/>
      <c r="G97" s="175"/>
      <c r="H97" s="173">
        <v>5</v>
      </c>
      <c r="I97" s="468"/>
      <c r="J97" s="173" t="s">
        <v>307</v>
      </c>
      <c r="K97" s="173">
        <v>59</v>
      </c>
      <c r="L97" s="175">
        <v>767</v>
      </c>
      <c r="M97" s="175">
        <v>38</v>
      </c>
      <c r="N97" s="175">
        <v>141</v>
      </c>
      <c r="O97" s="175">
        <v>77</v>
      </c>
      <c r="P97" s="173">
        <v>1</v>
      </c>
      <c r="Q97" s="468"/>
      <c r="R97" s="173" t="s">
        <v>307</v>
      </c>
      <c r="S97" s="173">
        <v>0</v>
      </c>
      <c r="T97" s="175">
        <v>0</v>
      </c>
      <c r="U97" s="175">
        <v>0</v>
      </c>
      <c r="V97" s="175">
        <v>0</v>
      </c>
      <c r="W97" s="175">
        <v>0</v>
      </c>
      <c r="X97" s="173">
        <v>0</v>
      </c>
      <c r="Y97" s="468"/>
      <c r="Z97" s="173" t="s">
        <v>307</v>
      </c>
      <c r="AA97" s="173">
        <v>226</v>
      </c>
      <c r="AB97" s="175">
        <v>1945</v>
      </c>
      <c r="AC97" s="175">
        <v>74</v>
      </c>
      <c r="AD97" s="175">
        <v>35</v>
      </c>
      <c r="AE97" s="175">
        <v>149</v>
      </c>
      <c r="AF97" s="173">
        <v>4</v>
      </c>
      <c r="AG97" s="468"/>
      <c r="AH97" s="173" t="s">
        <v>307</v>
      </c>
      <c r="AI97" s="173">
        <v>56</v>
      </c>
      <c r="AJ97" s="175">
        <v>642</v>
      </c>
      <c r="AK97" s="175">
        <v>33</v>
      </c>
      <c r="AL97" s="175">
        <v>118</v>
      </c>
      <c r="AM97" s="175">
        <v>64</v>
      </c>
      <c r="AN97" s="173">
        <v>1</v>
      </c>
      <c r="AO97" s="468"/>
      <c r="AP97" s="173" t="s">
        <v>307</v>
      </c>
      <c r="AQ97" s="173">
        <v>110</v>
      </c>
      <c r="AR97" s="175">
        <v>1045</v>
      </c>
      <c r="AS97" s="175">
        <v>52</v>
      </c>
      <c r="AT97" s="175">
        <v>193</v>
      </c>
      <c r="AU97" s="175">
        <v>105</v>
      </c>
      <c r="AV97" s="173">
        <v>2</v>
      </c>
    </row>
    <row r="98" spans="1:48" x14ac:dyDescent="0.2">
      <c r="A98" s="469"/>
      <c r="B98" s="173" t="s">
        <v>308</v>
      </c>
      <c r="C98" s="173">
        <v>419</v>
      </c>
      <c r="D98" s="175">
        <v>5435.66</v>
      </c>
      <c r="E98" s="175"/>
      <c r="F98" s="175"/>
      <c r="G98" s="175"/>
      <c r="H98" s="173">
        <v>6</v>
      </c>
      <c r="I98" s="469"/>
      <c r="J98" s="173" t="s">
        <v>308</v>
      </c>
      <c r="K98" s="173">
        <v>447</v>
      </c>
      <c r="L98" s="175">
        <v>5852</v>
      </c>
      <c r="M98" s="175">
        <v>176</v>
      </c>
      <c r="N98" s="175">
        <v>1020</v>
      </c>
      <c r="O98" s="175">
        <v>353</v>
      </c>
      <c r="P98" s="173">
        <v>3</v>
      </c>
      <c r="Q98" s="469"/>
      <c r="R98" s="173" t="s">
        <v>308</v>
      </c>
      <c r="S98" s="173">
        <v>978</v>
      </c>
      <c r="T98" s="175">
        <v>25427</v>
      </c>
      <c r="U98" s="175">
        <v>784</v>
      </c>
      <c r="V98" s="175">
        <v>4444</v>
      </c>
      <c r="W98" s="175">
        <v>1566</v>
      </c>
      <c r="X98" s="173">
        <v>9</v>
      </c>
      <c r="Y98" s="469"/>
      <c r="Z98" s="173" t="s">
        <v>308</v>
      </c>
      <c r="AA98" s="173">
        <v>769</v>
      </c>
      <c r="AB98" s="175">
        <v>6925</v>
      </c>
      <c r="AC98" s="175">
        <v>179</v>
      </c>
      <c r="AD98" s="175">
        <v>87</v>
      </c>
      <c r="AE98" s="175">
        <v>358</v>
      </c>
      <c r="AF98" s="173">
        <v>9</v>
      </c>
      <c r="AG98" s="469"/>
      <c r="AH98" s="173" t="s">
        <v>308</v>
      </c>
      <c r="AI98" s="173">
        <v>372</v>
      </c>
      <c r="AJ98" s="175">
        <v>4573</v>
      </c>
      <c r="AK98" s="175">
        <v>86</v>
      </c>
      <c r="AL98" s="175">
        <v>774</v>
      </c>
      <c r="AM98" s="175">
        <v>175</v>
      </c>
      <c r="AN98" s="173">
        <v>4</v>
      </c>
      <c r="AO98" s="469"/>
      <c r="AP98" s="173" t="s">
        <v>308</v>
      </c>
      <c r="AQ98" s="173">
        <v>622</v>
      </c>
      <c r="AR98" s="175">
        <v>3334</v>
      </c>
      <c r="AS98" s="175">
        <v>258</v>
      </c>
      <c r="AT98" s="175">
        <v>657</v>
      </c>
      <c r="AU98" s="175">
        <v>520</v>
      </c>
      <c r="AV98" s="173">
        <v>6</v>
      </c>
    </row>
    <row r="99" spans="1:48" x14ac:dyDescent="0.2">
      <c r="C99" s="173">
        <v>38515</v>
      </c>
      <c r="D99" s="176">
        <v>607739.94999999995</v>
      </c>
      <c r="E99" s="176"/>
      <c r="F99" s="176">
        <f t="shared" ref="F99:G99" si="51">SUM(F92:F98)</f>
        <v>0</v>
      </c>
      <c r="G99" s="176">
        <f t="shared" si="51"/>
        <v>0</v>
      </c>
      <c r="H99" s="173">
        <v>3315</v>
      </c>
      <c r="K99" s="173">
        <f t="shared" ref="K99:P99" si="52">SUM(K92:K98)</f>
        <v>1839</v>
      </c>
      <c r="L99" s="176">
        <f t="shared" si="52"/>
        <v>38743</v>
      </c>
      <c r="M99" s="176">
        <f t="shared" si="52"/>
        <v>1693</v>
      </c>
      <c r="N99" s="176">
        <f t="shared" si="52"/>
        <v>6974</v>
      </c>
      <c r="O99" s="176">
        <f t="shared" si="52"/>
        <v>3383</v>
      </c>
      <c r="P99" s="173">
        <f t="shared" si="52"/>
        <v>151</v>
      </c>
      <c r="S99" s="173">
        <f t="shared" ref="S99:X99" si="53">SUM(S92:S98)</f>
        <v>1152</v>
      </c>
      <c r="T99" s="176">
        <f t="shared" si="53"/>
        <v>29602</v>
      </c>
      <c r="U99" s="176">
        <f t="shared" si="53"/>
        <v>993</v>
      </c>
      <c r="V99" s="176">
        <f t="shared" si="53"/>
        <v>5213</v>
      </c>
      <c r="W99" s="176">
        <f t="shared" si="53"/>
        <v>1984</v>
      </c>
      <c r="X99" s="173">
        <f t="shared" si="53"/>
        <v>13</v>
      </c>
      <c r="AA99" s="173">
        <f t="shared" ref="AA99:AF99" si="54">SUM(AA92:AA98)</f>
        <v>9106</v>
      </c>
      <c r="AB99" s="176">
        <f t="shared" si="54"/>
        <v>90690</v>
      </c>
      <c r="AC99" s="176">
        <f t="shared" si="54"/>
        <v>3070</v>
      </c>
      <c r="AD99" s="176">
        <f t="shared" si="54"/>
        <v>1657</v>
      </c>
      <c r="AE99" s="176">
        <f t="shared" si="54"/>
        <v>6478</v>
      </c>
      <c r="AF99" s="173">
        <f t="shared" si="54"/>
        <v>638</v>
      </c>
      <c r="AI99" s="173">
        <f t="shared" ref="AI99:AN99" si="55">SUM(AI92:AI98)</f>
        <v>3221</v>
      </c>
      <c r="AJ99" s="176">
        <f t="shared" si="55"/>
        <v>45648</v>
      </c>
      <c r="AK99" s="176">
        <f t="shared" si="55"/>
        <v>1989</v>
      </c>
      <c r="AL99" s="176">
        <f t="shared" si="55"/>
        <v>8162</v>
      </c>
      <c r="AM99" s="176">
        <f t="shared" si="55"/>
        <v>3982</v>
      </c>
      <c r="AN99" s="173">
        <f t="shared" si="55"/>
        <v>189</v>
      </c>
      <c r="AQ99" s="173">
        <f t="shared" ref="AQ99:AV99" si="56">SUM(AQ92:AQ98)</f>
        <v>1134</v>
      </c>
      <c r="AR99" s="176">
        <f t="shared" si="56"/>
        <v>12544</v>
      </c>
      <c r="AS99" s="176">
        <f t="shared" si="56"/>
        <v>687</v>
      </c>
      <c r="AT99" s="176">
        <f t="shared" si="56"/>
        <v>2345</v>
      </c>
      <c r="AU99" s="176">
        <f t="shared" si="56"/>
        <v>1407</v>
      </c>
      <c r="AV99" s="173">
        <f t="shared" si="56"/>
        <v>47</v>
      </c>
    </row>
  </sheetData>
  <mergeCells count="55">
    <mergeCell ref="AO92:AO98"/>
    <mergeCell ref="A92:A98"/>
    <mergeCell ref="I92:I98"/>
    <mergeCell ref="Q92:Q98"/>
    <mergeCell ref="Y92:Y98"/>
    <mergeCell ref="AG92:AG98"/>
    <mergeCell ref="AO81:AO87"/>
    <mergeCell ref="A81:A87"/>
    <mergeCell ref="I81:I87"/>
    <mergeCell ref="Q81:Q87"/>
    <mergeCell ref="Y81:Y87"/>
    <mergeCell ref="AG81:AG87"/>
    <mergeCell ref="AO70:AO76"/>
    <mergeCell ref="A70:A76"/>
    <mergeCell ref="I70:I76"/>
    <mergeCell ref="Q70:Q76"/>
    <mergeCell ref="Y70:Y76"/>
    <mergeCell ref="AG70:AG76"/>
    <mergeCell ref="D2:AS2"/>
    <mergeCell ref="A26:A32"/>
    <mergeCell ref="I26:I32"/>
    <mergeCell ref="Q26:Q32"/>
    <mergeCell ref="Y26:Y32"/>
    <mergeCell ref="AG26:AG32"/>
    <mergeCell ref="AG4:AG10"/>
    <mergeCell ref="AO4:AO10"/>
    <mergeCell ref="A4:A10"/>
    <mergeCell ref="I4:I10"/>
    <mergeCell ref="Q4:Q10"/>
    <mergeCell ref="Y4:Y10"/>
    <mergeCell ref="AO15:AO21"/>
    <mergeCell ref="A15:A21"/>
    <mergeCell ref="I15:I21"/>
    <mergeCell ref="AO37:AO43"/>
    <mergeCell ref="Q15:Q21"/>
    <mergeCell ref="Y15:Y21"/>
    <mergeCell ref="AG15:AG21"/>
    <mergeCell ref="A37:A43"/>
    <mergeCell ref="I37:I43"/>
    <mergeCell ref="Q37:Q43"/>
    <mergeCell ref="Y37:Y43"/>
    <mergeCell ref="AG37:AG43"/>
    <mergeCell ref="AO26:AO32"/>
    <mergeCell ref="AO48:AO54"/>
    <mergeCell ref="A48:A54"/>
    <mergeCell ref="I48:I54"/>
    <mergeCell ref="Q48:Q54"/>
    <mergeCell ref="Y48:Y54"/>
    <mergeCell ref="AG48:AG54"/>
    <mergeCell ref="AO59:AO65"/>
    <mergeCell ref="A59:A65"/>
    <mergeCell ref="I59:I65"/>
    <mergeCell ref="Q59:Q65"/>
    <mergeCell ref="Y59:Y65"/>
    <mergeCell ref="AG59:AG65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opLeftCell="F1" workbookViewId="0">
      <selection activeCell="F75" sqref="F75"/>
    </sheetView>
  </sheetViews>
  <sheetFormatPr baseColWidth="10" defaultRowHeight="11.25" x14ac:dyDescent="0.2"/>
  <cols>
    <col min="1" max="1" width="11.42578125" style="1"/>
    <col min="2" max="2" width="13.28515625" style="1" customWidth="1"/>
    <col min="3" max="3" width="11.85546875" style="1" customWidth="1"/>
    <col min="4" max="4" width="10.140625" style="1" customWidth="1"/>
    <col min="5" max="5" width="11.140625" style="1" customWidth="1"/>
    <col min="6" max="6" width="10.5703125" style="1" customWidth="1"/>
    <col min="7" max="7" width="10.42578125" style="1" customWidth="1"/>
    <col min="8" max="8" width="10.5703125" style="1" customWidth="1"/>
    <col min="9" max="9" width="11" style="1" customWidth="1"/>
    <col min="10" max="10" width="10.5703125" style="1" customWidth="1"/>
    <col min="11" max="11" width="8.140625" style="1" customWidth="1"/>
    <col min="12" max="16384" width="11.42578125" style="1"/>
  </cols>
  <sheetData>
    <row r="2" spans="1:14" x14ac:dyDescent="0.2">
      <c r="E2" s="187" t="s">
        <v>318</v>
      </c>
      <c r="F2" s="180"/>
      <c r="G2" s="180"/>
      <c r="H2" s="180"/>
      <c r="I2" s="180"/>
    </row>
    <row r="3" spans="1:14" x14ac:dyDescent="0.2">
      <c r="E3" s="181"/>
      <c r="F3" s="181"/>
      <c r="G3" s="181"/>
      <c r="H3" s="181"/>
    </row>
    <row r="4" spans="1:14" x14ac:dyDescent="0.2">
      <c r="C4" s="178" t="s">
        <v>4</v>
      </c>
      <c r="D4" s="178" t="s">
        <v>5</v>
      </c>
      <c r="E4" s="178" t="s">
        <v>6</v>
      </c>
      <c r="F4" s="178" t="s">
        <v>7</v>
      </c>
      <c r="G4" s="178" t="s">
        <v>8</v>
      </c>
      <c r="H4" s="178" t="s">
        <v>9</v>
      </c>
      <c r="I4" s="178" t="s">
        <v>10</v>
      </c>
      <c r="J4" s="178" t="s">
        <v>11</v>
      </c>
      <c r="K4" s="178" t="s">
        <v>12</v>
      </c>
      <c r="L4" s="178" t="s">
        <v>13</v>
      </c>
      <c r="M4" s="178" t="s">
        <v>14</v>
      </c>
      <c r="N4" s="178" t="s">
        <v>15</v>
      </c>
    </row>
    <row r="5" spans="1:14" x14ac:dyDescent="0.2">
      <c r="B5" s="1" t="s">
        <v>39</v>
      </c>
      <c r="C5" s="178">
        <v>85415</v>
      </c>
      <c r="D5" s="178">
        <f>+'INGRESO POR RANGOS'!C22</f>
        <v>58630</v>
      </c>
      <c r="E5" s="173">
        <v>49135</v>
      </c>
      <c r="F5" s="57">
        <f>+'INGRESO POR RANGOS'!C44</f>
        <v>56325</v>
      </c>
      <c r="G5" s="339">
        <f>+'INGRESO POR RANGOS'!C55</f>
        <v>51484</v>
      </c>
      <c r="H5" s="339">
        <f>+'INGRESO POR RANGOS'!C66</f>
        <v>49806</v>
      </c>
      <c r="I5" s="339">
        <f>+'INGRESO POR RANGOS'!C77</f>
        <v>50010</v>
      </c>
      <c r="J5" s="339">
        <v>42489</v>
      </c>
      <c r="K5" s="178"/>
      <c r="L5" s="178"/>
      <c r="M5" s="178"/>
      <c r="N5" s="178"/>
    </row>
    <row r="6" spans="1:14" x14ac:dyDescent="0.2">
      <c r="B6" s="1" t="s">
        <v>40</v>
      </c>
      <c r="C6" s="178">
        <v>4135</v>
      </c>
      <c r="D6" s="178">
        <f>+'INGRESO POR RANGOS'!K22</f>
        <v>1777</v>
      </c>
      <c r="E6" s="178">
        <v>2225</v>
      </c>
      <c r="F6" s="178">
        <f>+'INGRESO POR RANGOS'!K44</f>
        <v>2051</v>
      </c>
      <c r="G6" s="178">
        <f>+'INGRESO POR RANGOS'!K55</f>
        <v>2158</v>
      </c>
      <c r="H6" s="178">
        <f>+'INGRESO POR RANGOS'!K66</f>
        <v>2501</v>
      </c>
      <c r="I6" s="347">
        <f>+'INGRESO POR RANGOS'!K77</f>
        <v>2335</v>
      </c>
      <c r="J6" s="350">
        <f>+'INGRESO POR RANGOS'!K77</f>
        <v>2335</v>
      </c>
      <c r="K6" s="178"/>
      <c r="L6" s="178"/>
      <c r="M6" s="178"/>
      <c r="N6" s="178"/>
    </row>
    <row r="7" spans="1:14" x14ac:dyDescent="0.2">
      <c r="A7" s="182"/>
      <c r="B7" s="182" t="s">
        <v>41</v>
      </c>
      <c r="C7" s="178">
        <v>672</v>
      </c>
      <c r="D7" s="178">
        <f>+'INGRESO POR RANGOS'!S22</f>
        <v>830</v>
      </c>
      <c r="E7" s="178">
        <v>919</v>
      </c>
      <c r="F7" s="178">
        <f>+'INGRESO POR RANGOS'!S44</f>
        <v>1191</v>
      </c>
      <c r="G7" s="178">
        <f>+'INGRESO POR RANGOS'!S55</f>
        <v>840</v>
      </c>
      <c r="H7" s="178">
        <f>+'INGRESO POR RANGOS'!S66</f>
        <v>1058</v>
      </c>
      <c r="I7" s="177">
        <f>+'INGRESO POR RANGOS'!S77</f>
        <v>848</v>
      </c>
      <c r="J7" s="188">
        <f>+'INGRESO POR RANGOS'!S88</f>
        <v>1152</v>
      </c>
      <c r="K7" s="177"/>
      <c r="L7" s="177"/>
      <c r="M7" s="177"/>
      <c r="N7" s="178"/>
    </row>
    <row r="8" spans="1:14" x14ac:dyDescent="0.2">
      <c r="A8" s="183"/>
      <c r="B8" s="184" t="s">
        <v>317</v>
      </c>
      <c r="C8" s="57">
        <v>21233</v>
      </c>
      <c r="D8" s="178">
        <f>+'INGRESO POR RANGOS'!AA22</f>
        <v>9231</v>
      </c>
      <c r="E8" s="178">
        <v>10078</v>
      </c>
      <c r="F8" s="178">
        <f>+'INGRESO POR RANGOS'!AA44</f>
        <v>9619</v>
      </c>
      <c r="G8" s="178">
        <f>+'INGRESO POR RANGOS'!AA55</f>
        <v>11084</v>
      </c>
      <c r="H8" s="178">
        <f>+'INGRESO POR RANGOS'!AA66</f>
        <v>11309</v>
      </c>
      <c r="I8" s="24">
        <f>+'INGRESO POR RANGOS'!AA77</f>
        <v>9933</v>
      </c>
      <c r="J8" s="189">
        <f>+'INGRESO POR RANGOS'!AA88</f>
        <v>9106</v>
      </c>
      <c r="K8" s="178"/>
      <c r="L8" s="178"/>
      <c r="M8" s="177"/>
      <c r="N8" s="178"/>
    </row>
    <row r="9" spans="1:14" x14ac:dyDescent="0.2">
      <c r="A9" s="183"/>
      <c r="B9" s="184" t="s">
        <v>42</v>
      </c>
      <c r="C9" s="57">
        <v>4833</v>
      </c>
      <c r="D9" s="57">
        <f>+'INGRESO POR RANGOS'!AI22</f>
        <v>3250</v>
      </c>
      <c r="E9" s="57">
        <v>3732</v>
      </c>
      <c r="F9" s="57">
        <f>+'INGRESO POR RANGOS'!AI33</f>
        <v>3732</v>
      </c>
      <c r="G9" s="57">
        <f>+'INGRESO POR RANGOS'!AI55</f>
        <v>3429</v>
      </c>
      <c r="H9" s="57">
        <f>+'INGRESO POR RANGOS'!AI66</f>
        <v>4057</v>
      </c>
      <c r="I9" s="24">
        <f>+'INGRESO POR RANGOS'!AI77</f>
        <v>3767</v>
      </c>
      <c r="J9" s="57">
        <f>+'INGRESO POR RANGOS'!AI88</f>
        <v>3221</v>
      </c>
      <c r="K9" s="178"/>
      <c r="L9" s="178"/>
      <c r="M9" s="177"/>
      <c r="N9" s="178"/>
    </row>
    <row r="10" spans="1:14" x14ac:dyDescent="0.2">
      <c r="A10" s="183"/>
      <c r="B10" s="184" t="s">
        <v>43</v>
      </c>
      <c r="C10" s="57">
        <v>1271</v>
      </c>
      <c r="D10" s="178">
        <f>+'INGRESO POR RANGOS'!AQ22</f>
        <v>1016</v>
      </c>
      <c r="E10" s="178">
        <v>1470</v>
      </c>
      <c r="F10" s="178">
        <f>+'INGRESO POR RANGOS'!AQ33</f>
        <v>1470</v>
      </c>
      <c r="G10" s="178">
        <f>+'INGRESO POR RANGOS'!AQ55</f>
        <v>964</v>
      </c>
      <c r="H10" s="178">
        <f>+'INGRESO POR RANGOS'!AQ55</f>
        <v>964</v>
      </c>
      <c r="I10" s="178">
        <f>+'INGRESO POR RANGOS'!AQ77</f>
        <v>1009</v>
      </c>
      <c r="J10" s="189">
        <f>+'INGRESO POR RANGOS'!AQ88</f>
        <v>1134</v>
      </c>
      <c r="K10" s="178"/>
      <c r="L10" s="178"/>
      <c r="M10" s="177"/>
      <c r="N10" s="178"/>
    </row>
    <row r="11" spans="1:14" x14ac:dyDescent="0.2">
      <c r="A11" s="183"/>
      <c r="B11" s="183"/>
      <c r="C11" s="183">
        <f t="shared" ref="C11:H11" si="0">SUM(C5:C10)</f>
        <v>117559</v>
      </c>
      <c r="D11" s="182">
        <f t="shared" si="0"/>
        <v>74734</v>
      </c>
      <c r="E11" s="182">
        <f t="shared" si="0"/>
        <v>67559</v>
      </c>
      <c r="F11" s="182">
        <f t="shared" si="0"/>
        <v>74388</v>
      </c>
      <c r="G11" s="182">
        <f t="shared" si="0"/>
        <v>69959</v>
      </c>
      <c r="H11" s="182">
        <f t="shared" si="0"/>
        <v>69695</v>
      </c>
      <c r="I11" s="185">
        <f>SUM(I5:I10)</f>
        <v>67902</v>
      </c>
      <c r="J11" s="182">
        <f>SUM(J5:J10)</f>
        <v>59437</v>
      </c>
      <c r="K11" s="182"/>
      <c r="L11" s="182"/>
      <c r="M11" s="10"/>
    </row>
    <row r="12" spans="1:14" x14ac:dyDescent="0.2">
      <c r="A12" s="183"/>
      <c r="B12" s="183"/>
      <c r="C12" s="183"/>
      <c r="D12" s="182">
        <f>+C11+D11</f>
        <v>192293</v>
      </c>
      <c r="E12" s="182"/>
      <c r="F12" s="182">
        <f>+E11+F11</f>
        <v>141947</v>
      </c>
      <c r="G12" s="182"/>
      <c r="H12" s="182"/>
      <c r="I12" s="182"/>
      <c r="J12" s="186"/>
      <c r="K12" s="182"/>
      <c r="L12" s="182"/>
      <c r="M12" s="182"/>
    </row>
    <row r="13" spans="1:14" x14ac:dyDescent="0.2">
      <c r="A13" s="183"/>
      <c r="E13" s="187" t="s">
        <v>329</v>
      </c>
      <c r="F13" s="180"/>
      <c r="G13" s="180"/>
      <c r="H13" s="180"/>
      <c r="I13" s="180"/>
    </row>
    <row r="14" spans="1:14" x14ac:dyDescent="0.2">
      <c r="A14" s="183"/>
      <c r="E14" s="181"/>
      <c r="F14" s="181"/>
      <c r="G14" s="181"/>
      <c r="H14" s="181"/>
    </row>
    <row r="15" spans="1:14" x14ac:dyDescent="0.2">
      <c r="C15" s="315" t="s">
        <v>4</v>
      </c>
      <c r="D15" s="315" t="s">
        <v>5</v>
      </c>
      <c r="E15" s="315" t="s">
        <v>6</v>
      </c>
      <c r="F15" s="315" t="s">
        <v>7</v>
      </c>
      <c r="G15" s="315" t="s">
        <v>8</v>
      </c>
      <c r="H15" s="315" t="s">
        <v>9</v>
      </c>
      <c r="I15" s="315" t="s">
        <v>10</v>
      </c>
      <c r="J15" s="315" t="s">
        <v>11</v>
      </c>
      <c r="K15" s="315" t="s">
        <v>12</v>
      </c>
      <c r="L15" s="315" t="s">
        <v>13</v>
      </c>
      <c r="M15" s="315" t="s">
        <v>14</v>
      </c>
      <c r="N15" s="315" t="s">
        <v>15</v>
      </c>
    </row>
    <row r="16" spans="1:14" x14ac:dyDescent="0.2">
      <c r="B16" s="1" t="s">
        <v>39</v>
      </c>
      <c r="C16" s="315">
        <v>34330</v>
      </c>
      <c r="D16" s="315">
        <v>38604</v>
      </c>
      <c r="E16" s="321">
        <v>45098</v>
      </c>
      <c r="F16" s="57">
        <v>45561</v>
      </c>
      <c r="G16" s="57">
        <v>50523</v>
      </c>
      <c r="H16" s="57">
        <v>53947</v>
      </c>
      <c r="I16" s="315">
        <v>43497</v>
      </c>
      <c r="J16" s="315">
        <v>41702</v>
      </c>
      <c r="K16" s="315"/>
      <c r="L16" s="315"/>
      <c r="M16" s="315"/>
      <c r="N16" s="315"/>
    </row>
    <row r="17" spans="2:14" x14ac:dyDescent="0.2">
      <c r="B17" s="1" t="s">
        <v>40</v>
      </c>
      <c r="C17" s="315">
        <v>1695</v>
      </c>
      <c r="D17" s="315">
        <v>1859</v>
      </c>
      <c r="E17" s="321">
        <v>2086</v>
      </c>
      <c r="F17" s="315">
        <v>1978</v>
      </c>
      <c r="G17" s="315">
        <v>2186</v>
      </c>
      <c r="H17" s="315">
        <v>2472</v>
      </c>
      <c r="I17" s="315">
        <v>2154</v>
      </c>
      <c r="J17" s="315">
        <v>1983</v>
      </c>
      <c r="K17" s="315"/>
      <c r="L17" s="315"/>
      <c r="M17" s="315"/>
      <c r="N17" s="315"/>
    </row>
    <row r="18" spans="2:14" x14ac:dyDescent="0.2">
      <c r="B18" s="182" t="s">
        <v>41</v>
      </c>
      <c r="C18" s="315">
        <v>772</v>
      </c>
      <c r="D18" s="315">
        <v>869</v>
      </c>
      <c r="E18" s="321">
        <v>863</v>
      </c>
      <c r="F18" s="315">
        <v>906</v>
      </c>
      <c r="G18" s="315">
        <v>856</v>
      </c>
      <c r="H18" s="315">
        <v>1107</v>
      </c>
      <c r="I18" s="314">
        <v>920</v>
      </c>
      <c r="J18" s="188">
        <v>1010</v>
      </c>
      <c r="K18" s="314"/>
      <c r="L18" s="314"/>
      <c r="M18" s="314"/>
      <c r="N18" s="315"/>
    </row>
    <row r="19" spans="2:14" x14ac:dyDescent="0.2">
      <c r="B19" s="184" t="s">
        <v>317</v>
      </c>
      <c r="C19" s="57">
        <v>6896</v>
      </c>
      <c r="D19" s="315">
        <v>8790</v>
      </c>
      <c r="E19" s="321">
        <v>9712</v>
      </c>
      <c r="F19" s="315">
        <v>9813</v>
      </c>
      <c r="G19" s="315">
        <v>10928</v>
      </c>
      <c r="H19" s="315">
        <v>12285</v>
      </c>
      <c r="I19" s="24">
        <v>9393</v>
      </c>
      <c r="J19" s="189">
        <v>9062</v>
      </c>
      <c r="K19" s="315"/>
      <c r="L19" s="315"/>
      <c r="M19" s="314"/>
      <c r="N19" s="315"/>
    </row>
    <row r="20" spans="2:14" x14ac:dyDescent="0.2">
      <c r="B20" s="184" t="s">
        <v>42</v>
      </c>
      <c r="C20" s="57">
        <v>3158</v>
      </c>
      <c r="D20" s="57">
        <v>3298</v>
      </c>
      <c r="E20" s="321">
        <v>3957</v>
      </c>
      <c r="F20" s="57">
        <v>3640</v>
      </c>
      <c r="G20" s="57">
        <v>3650</v>
      </c>
      <c r="H20" s="57">
        <v>4278</v>
      </c>
      <c r="I20" s="24">
        <v>3427</v>
      </c>
      <c r="J20" s="57">
        <v>3441</v>
      </c>
      <c r="K20" s="315"/>
      <c r="L20" s="315"/>
      <c r="M20" s="314"/>
      <c r="N20" s="315"/>
    </row>
    <row r="21" spans="2:14" x14ac:dyDescent="0.2">
      <c r="B21" s="184" t="s">
        <v>43</v>
      </c>
      <c r="C21" s="57">
        <v>197</v>
      </c>
      <c r="D21" s="315">
        <v>1157</v>
      </c>
      <c r="E21" s="321">
        <v>1299</v>
      </c>
      <c r="F21" s="315">
        <v>1263</v>
      </c>
      <c r="G21" s="315">
        <v>1126</v>
      </c>
      <c r="H21" s="315">
        <v>1342</v>
      </c>
      <c r="I21" s="315">
        <v>1060</v>
      </c>
      <c r="J21" s="189">
        <v>1142</v>
      </c>
      <c r="K21" s="315"/>
      <c r="L21" s="315"/>
      <c r="M21" s="314"/>
      <c r="N21" s="315"/>
    </row>
    <row r="22" spans="2:14" x14ac:dyDescent="0.2">
      <c r="B22" s="183"/>
      <c r="C22" s="183">
        <f t="shared" ref="C22:H22" si="1">SUM(C16:C21)</f>
        <v>47048</v>
      </c>
      <c r="D22" s="182">
        <f t="shared" si="1"/>
        <v>54577</v>
      </c>
      <c r="E22" s="185">
        <f t="shared" si="1"/>
        <v>63015</v>
      </c>
      <c r="F22" s="182">
        <f t="shared" si="1"/>
        <v>63161</v>
      </c>
      <c r="G22" s="182">
        <f t="shared" si="1"/>
        <v>69269</v>
      </c>
      <c r="H22" s="182">
        <f t="shared" si="1"/>
        <v>75431</v>
      </c>
      <c r="I22" s="185">
        <f>SUM(I16:I21)</f>
        <v>60451</v>
      </c>
      <c r="J22" s="182">
        <f>SUM(J16:J21)</f>
        <v>58340</v>
      </c>
      <c r="K22" s="182"/>
      <c r="L22" s="182"/>
      <c r="M22" s="10"/>
    </row>
    <row r="23" spans="2:14" x14ac:dyDescent="0.2">
      <c r="I23" s="17"/>
    </row>
    <row r="24" spans="2:14" x14ac:dyDescent="0.2">
      <c r="E24" s="187" t="s">
        <v>345</v>
      </c>
      <c r="F24" s="180"/>
      <c r="G24" s="180"/>
      <c r="H24" s="180"/>
      <c r="I24" s="180"/>
    </row>
    <row r="25" spans="2:14" x14ac:dyDescent="0.2">
      <c r="E25" s="181"/>
      <c r="F25" s="181"/>
      <c r="G25" s="181"/>
      <c r="H25" s="181"/>
    </row>
    <row r="26" spans="2:14" x14ac:dyDescent="0.2">
      <c r="C26" s="191" t="s">
        <v>4</v>
      </c>
      <c r="D26" s="191" t="s">
        <v>5</v>
      </c>
      <c r="E26" s="191" t="s">
        <v>6</v>
      </c>
      <c r="F26" s="191" t="s">
        <v>7</v>
      </c>
      <c r="G26" s="191" t="s">
        <v>8</v>
      </c>
      <c r="H26" s="191" t="s">
        <v>9</v>
      </c>
      <c r="I26" s="191" t="s">
        <v>10</v>
      </c>
      <c r="J26" s="191" t="s">
        <v>11</v>
      </c>
      <c r="K26" s="191" t="s">
        <v>12</v>
      </c>
      <c r="L26" s="191" t="s">
        <v>13</v>
      </c>
      <c r="M26" s="191" t="s">
        <v>14</v>
      </c>
      <c r="N26" s="191" t="s">
        <v>15</v>
      </c>
    </row>
    <row r="27" spans="2:14" x14ac:dyDescent="0.2">
      <c r="B27" s="1" t="s">
        <v>39</v>
      </c>
      <c r="C27" s="176">
        <v>877375</v>
      </c>
      <c r="D27" s="194">
        <f>+'INGRESO POR RANGOS'!D22</f>
        <v>567604</v>
      </c>
      <c r="E27" s="176">
        <v>599117</v>
      </c>
      <c r="F27" s="195">
        <f>+'INGRESO POR RANGOS'!D44</f>
        <v>611385</v>
      </c>
      <c r="G27" s="195">
        <f>+'INGRESO POR RANGOS'!D55</f>
        <v>662113</v>
      </c>
      <c r="H27" s="195">
        <f>+'INGRESO POR RANGOS'!D66</f>
        <v>624617</v>
      </c>
      <c r="I27" s="194">
        <f>+'INGRESO POR RANGOS'!D77</f>
        <v>678011</v>
      </c>
      <c r="J27" s="194">
        <f>+'INGRESO POR RANGOS'!D88</f>
        <v>584179</v>
      </c>
      <c r="K27" s="191"/>
      <c r="L27" s="191"/>
      <c r="M27" s="191"/>
      <c r="N27" s="191"/>
    </row>
    <row r="28" spans="2:14" x14ac:dyDescent="0.2">
      <c r="B28" s="1" t="s">
        <v>40</v>
      </c>
      <c r="C28" s="194">
        <v>62852</v>
      </c>
      <c r="D28" s="194">
        <f>+'INGRESO POR RANGOS'!L22</f>
        <v>38122</v>
      </c>
      <c r="E28" s="194">
        <v>43227</v>
      </c>
      <c r="F28" s="194">
        <f>+'INGRESO POR RANGOS'!L44</f>
        <v>43044</v>
      </c>
      <c r="G28" s="194">
        <f>+'INGRESO POR RANGOS'!L55</f>
        <v>41373</v>
      </c>
      <c r="H28" s="194">
        <f>+'INGRESO POR RANGOS'!L66</f>
        <v>45232</v>
      </c>
      <c r="I28" s="194">
        <f>+'INGRESO POR RANGOS'!L77</f>
        <v>48526</v>
      </c>
      <c r="J28" s="194">
        <f>+'INGRESO POR RANGOS'!L88</f>
        <v>38743</v>
      </c>
      <c r="K28" s="191"/>
      <c r="L28" s="191"/>
      <c r="M28" s="191"/>
      <c r="N28" s="191"/>
    </row>
    <row r="29" spans="2:14" x14ac:dyDescent="0.2">
      <c r="B29" s="182" t="s">
        <v>41</v>
      </c>
      <c r="C29" s="194">
        <v>16344</v>
      </c>
      <c r="D29" s="194">
        <f>+'INGRESO POR RANGOS'!T22</f>
        <v>21527</v>
      </c>
      <c r="E29" s="194">
        <v>23033</v>
      </c>
      <c r="F29" s="194">
        <f>+'INGRESO POR RANGOS'!T44</f>
        <v>24101</v>
      </c>
      <c r="G29" s="194">
        <f>+'INGRESO POR RANGOS'!T55</f>
        <v>21541</v>
      </c>
      <c r="H29" s="194">
        <f>+'INGRESO POR RANGOS'!T66</f>
        <v>27810</v>
      </c>
      <c r="I29" s="348">
        <f>+'INGRESO POR RANGOS'!T77</f>
        <v>22083</v>
      </c>
      <c r="J29" s="352">
        <f>+'INGRESO POR RANGOS'!T88</f>
        <v>29602</v>
      </c>
      <c r="K29" s="190"/>
      <c r="L29" s="190"/>
      <c r="M29" s="190"/>
      <c r="N29" s="191"/>
    </row>
    <row r="30" spans="2:14" x14ac:dyDescent="0.2">
      <c r="B30" s="184" t="s">
        <v>317</v>
      </c>
      <c r="C30" s="195">
        <v>574642</v>
      </c>
      <c r="D30" s="194">
        <f>+'INGRESO POR RANGOS'!AB22</f>
        <v>92825</v>
      </c>
      <c r="E30" s="194">
        <v>99990</v>
      </c>
      <c r="F30" s="194">
        <f>+'INGRESO POR RANGOS'!AB44</f>
        <v>94032</v>
      </c>
      <c r="G30" s="194">
        <f>+'INGRESO POR RANGOS'!AB55</f>
        <v>105460</v>
      </c>
      <c r="H30" s="194">
        <f>+'INGRESO POR RANGOS'!AB66</f>
        <v>105138</v>
      </c>
      <c r="I30" s="194">
        <f>+'INGRESO POR RANGOS'!AB77</f>
        <v>98752</v>
      </c>
      <c r="J30" s="353">
        <f>+'INGRESO POR RANGOS'!AB88</f>
        <v>90690</v>
      </c>
      <c r="K30" s="191"/>
      <c r="L30" s="191"/>
      <c r="M30" s="190"/>
      <c r="N30" s="191"/>
    </row>
    <row r="31" spans="2:14" x14ac:dyDescent="0.2">
      <c r="B31" s="184" t="s">
        <v>42</v>
      </c>
      <c r="C31" s="195">
        <v>61140</v>
      </c>
      <c r="D31" s="195">
        <f>+'INGRESO POR RANGOS'!AJ22</f>
        <v>43043</v>
      </c>
      <c r="E31" s="195">
        <v>48268</v>
      </c>
      <c r="F31" s="195">
        <f>+'INGRESO POR RANGOS'!AJ44</f>
        <v>48433</v>
      </c>
      <c r="G31" s="195">
        <f>+'INGRESO POR RANGOS'!AJ55</f>
        <v>46564</v>
      </c>
      <c r="H31" s="195">
        <f>+'INGRESO POR RANGOS'!AJ66</f>
        <v>52164</v>
      </c>
      <c r="I31" s="194">
        <f>+'INGRESO POR RANGOS'!AJ77</f>
        <v>50579</v>
      </c>
      <c r="J31" s="195">
        <f>+'INGRESO POR RANGOS'!AJ88</f>
        <v>45648</v>
      </c>
      <c r="K31" s="191"/>
      <c r="L31" s="191"/>
      <c r="M31" s="190"/>
      <c r="N31" s="191"/>
    </row>
    <row r="32" spans="2:14" x14ac:dyDescent="0.2">
      <c r="B32" s="184" t="s">
        <v>43</v>
      </c>
      <c r="C32" s="195">
        <v>13640</v>
      </c>
      <c r="D32" s="194">
        <f>+'INGRESO POR RANGOS'!AR22</f>
        <v>16182</v>
      </c>
      <c r="E32" s="194">
        <v>14078</v>
      </c>
      <c r="F32" s="194">
        <f>+'INGRESO POR RANGOS'!AR44</f>
        <v>13726</v>
      </c>
      <c r="G32" s="194">
        <f>+'INGRESO POR RANGOS'!AR55</f>
        <v>12457</v>
      </c>
      <c r="H32" s="194">
        <f>+'INGRESO POR RANGOS'!AR66</f>
        <v>15580</v>
      </c>
      <c r="I32" s="194">
        <f>+'INGRESO POR RANGOS'!AR77</f>
        <v>12842</v>
      </c>
      <c r="J32" s="353">
        <f>+'INGRESO POR RANGOS'!AR88</f>
        <v>12544</v>
      </c>
      <c r="K32" s="191"/>
      <c r="L32" s="191"/>
      <c r="M32" s="190"/>
      <c r="N32" s="191"/>
    </row>
    <row r="33" spans="2:14" x14ac:dyDescent="0.2">
      <c r="C33" s="8">
        <f t="shared" ref="C33:H33" si="2">SUM(C27:C32)</f>
        <v>1605993</v>
      </c>
      <c r="D33" s="8">
        <f t="shared" si="2"/>
        <v>779303</v>
      </c>
      <c r="E33" s="8">
        <f t="shared" si="2"/>
        <v>827713</v>
      </c>
      <c r="F33" s="8">
        <f t="shared" si="2"/>
        <v>834721</v>
      </c>
      <c r="G33" s="8">
        <f t="shared" si="2"/>
        <v>889508</v>
      </c>
      <c r="H33" s="8">
        <f t="shared" si="2"/>
        <v>870541</v>
      </c>
      <c r="I33" s="8">
        <f>SUM(I27:I32)</f>
        <v>910793</v>
      </c>
      <c r="J33" s="8">
        <f>SUM(J27:J32)</f>
        <v>801406</v>
      </c>
    </row>
    <row r="36" spans="2:14" x14ac:dyDescent="0.2">
      <c r="E36" s="187" t="s">
        <v>344</v>
      </c>
      <c r="F36" s="180"/>
      <c r="G36" s="180"/>
      <c r="H36" s="180"/>
      <c r="I36" s="180"/>
    </row>
    <row r="37" spans="2:14" x14ac:dyDescent="0.2">
      <c r="E37" s="181"/>
      <c r="F37" s="181"/>
      <c r="G37" s="181"/>
      <c r="H37" s="181"/>
    </row>
    <row r="38" spans="2:14" x14ac:dyDescent="0.2">
      <c r="C38" s="313" t="s">
        <v>4</v>
      </c>
      <c r="D38" s="313" t="s">
        <v>5</v>
      </c>
      <c r="E38" s="313" t="s">
        <v>6</v>
      </c>
      <c r="F38" s="313" t="s">
        <v>7</v>
      </c>
      <c r="G38" s="313" t="s">
        <v>8</v>
      </c>
      <c r="H38" s="313" t="s">
        <v>9</v>
      </c>
      <c r="I38" s="313" t="s">
        <v>10</v>
      </c>
      <c r="J38" s="313" t="s">
        <v>11</v>
      </c>
      <c r="K38" s="313" t="s">
        <v>12</v>
      </c>
      <c r="L38" s="313" t="s">
        <v>13</v>
      </c>
      <c r="M38" s="313" t="s">
        <v>14</v>
      </c>
      <c r="N38" s="313" t="s">
        <v>15</v>
      </c>
    </row>
    <row r="39" spans="2:14" x14ac:dyDescent="0.2">
      <c r="B39" s="1" t="s">
        <v>39</v>
      </c>
      <c r="C39" s="176">
        <v>467468</v>
      </c>
      <c r="D39" s="316">
        <v>742284</v>
      </c>
      <c r="E39" s="195">
        <v>602652</v>
      </c>
      <c r="F39" s="195">
        <v>608279</v>
      </c>
      <c r="G39" s="195">
        <v>653775</v>
      </c>
      <c r="H39" s="340">
        <v>680504</v>
      </c>
      <c r="I39" s="196">
        <v>607687</v>
      </c>
      <c r="J39" s="196">
        <v>595483</v>
      </c>
      <c r="K39" s="313"/>
      <c r="L39" s="313"/>
      <c r="M39" s="313"/>
      <c r="N39" s="313"/>
    </row>
    <row r="40" spans="2:14" x14ac:dyDescent="0.2">
      <c r="B40" s="1" t="s">
        <v>40</v>
      </c>
      <c r="C40" s="194">
        <v>36436</v>
      </c>
      <c r="D40" s="316">
        <v>40408</v>
      </c>
      <c r="E40" s="194">
        <v>41526</v>
      </c>
      <c r="F40" s="194">
        <v>40658</v>
      </c>
      <c r="G40" s="194">
        <v>43085</v>
      </c>
      <c r="H40" s="196">
        <v>46026</v>
      </c>
      <c r="I40" s="196">
        <v>44204</v>
      </c>
      <c r="J40" s="196">
        <v>42363</v>
      </c>
      <c r="K40" s="313"/>
      <c r="L40" s="313"/>
      <c r="M40" s="313"/>
      <c r="N40" s="313"/>
    </row>
    <row r="41" spans="2:14" x14ac:dyDescent="0.2">
      <c r="B41" s="182" t="s">
        <v>41</v>
      </c>
      <c r="C41" s="194">
        <v>18900</v>
      </c>
      <c r="D41" s="317">
        <v>22144</v>
      </c>
      <c r="E41" s="194">
        <v>22093</v>
      </c>
      <c r="F41" s="194">
        <v>23269</v>
      </c>
      <c r="G41" s="194">
        <v>22152</v>
      </c>
      <c r="H41" s="196">
        <v>28626</v>
      </c>
      <c r="I41" s="26">
        <v>23770</v>
      </c>
      <c r="J41" s="354">
        <v>26030</v>
      </c>
      <c r="K41" s="312"/>
      <c r="L41" s="312"/>
      <c r="M41" s="312"/>
      <c r="N41" s="313"/>
    </row>
    <row r="42" spans="2:14" x14ac:dyDescent="0.2">
      <c r="B42" s="184" t="s">
        <v>317</v>
      </c>
      <c r="C42" s="195">
        <v>76269</v>
      </c>
      <c r="D42" s="317">
        <v>93317</v>
      </c>
      <c r="E42" s="194">
        <v>96664</v>
      </c>
      <c r="F42" s="194">
        <v>96677</v>
      </c>
      <c r="G42" s="194">
        <v>104628</v>
      </c>
      <c r="H42" s="196">
        <v>114933</v>
      </c>
      <c r="I42" s="196">
        <v>94805</v>
      </c>
      <c r="J42" s="196">
        <v>93482</v>
      </c>
      <c r="K42" s="313"/>
      <c r="L42" s="313"/>
      <c r="M42" s="312"/>
      <c r="N42" s="313"/>
    </row>
    <row r="43" spans="2:14" x14ac:dyDescent="0.2">
      <c r="B43" s="184" t="s">
        <v>42</v>
      </c>
      <c r="C43" s="195">
        <v>41844</v>
      </c>
      <c r="D43" s="318">
        <v>45001</v>
      </c>
      <c r="E43" s="195">
        <v>51359</v>
      </c>
      <c r="F43" s="195">
        <v>48684</v>
      </c>
      <c r="G43" s="195">
        <v>49419</v>
      </c>
      <c r="H43" s="340">
        <v>54722</v>
      </c>
      <c r="I43" s="196">
        <v>47296</v>
      </c>
      <c r="J43" s="340">
        <v>47400</v>
      </c>
      <c r="K43" s="313"/>
      <c r="L43" s="313"/>
      <c r="M43" s="312"/>
      <c r="N43" s="313"/>
    </row>
    <row r="44" spans="2:14" x14ac:dyDescent="0.2">
      <c r="B44" s="184" t="s">
        <v>43</v>
      </c>
      <c r="C44" s="195">
        <v>1873</v>
      </c>
      <c r="D44" s="319">
        <v>16840</v>
      </c>
      <c r="E44" s="194">
        <v>15063</v>
      </c>
      <c r="F44" s="194">
        <v>14553</v>
      </c>
      <c r="G44" s="194">
        <v>14110</v>
      </c>
      <c r="H44" s="196">
        <v>16251</v>
      </c>
      <c r="I44" s="196">
        <v>13878</v>
      </c>
      <c r="J44" s="196">
        <v>13217</v>
      </c>
      <c r="K44" s="313"/>
      <c r="L44" s="313"/>
      <c r="M44" s="312"/>
      <c r="N44" s="313"/>
    </row>
    <row r="45" spans="2:14" x14ac:dyDescent="0.2">
      <c r="C45" s="8">
        <f t="shared" ref="C45:H45" si="3">SUM(C39:C44)</f>
        <v>642790</v>
      </c>
      <c r="D45" s="320">
        <f t="shared" si="3"/>
        <v>959994</v>
      </c>
      <c r="E45" s="8">
        <f t="shared" si="3"/>
        <v>829357</v>
      </c>
      <c r="F45" s="8">
        <f t="shared" si="3"/>
        <v>832120</v>
      </c>
      <c r="G45" s="8">
        <f t="shared" si="3"/>
        <v>887169</v>
      </c>
      <c r="H45" s="9">
        <f t="shared" si="3"/>
        <v>941062</v>
      </c>
      <c r="I45" s="9">
        <f>SUM(I39:I44)</f>
        <v>831640</v>
      </c>
      <c r="J45" s="9">
        <f>SUM(J39:J44)</f>
        <v>817975</v>
      </c>
    </row>
    <row r="47" spans="2:14" x14ac:dyDescent="0.2">
      <c r="E47" s="187" t="s">
        <v>330</v>
      </c>
    </row>
    <row r="49" spans="2:14" x14ac:dyDescent="0.2">
      <c r="C49" s="192" t="s">
        <v>4</v>
      </c>
      <c r="D49" s="192" t="s">
        <v>5</v>
      </c>
      <c r="E49" s="192" t="s">
        <v>6</v>
      </c>
      <c r="F49" s="192" t="s">
        <v>7</v>
      </c>
      <c r="G49" s="192" t="s">
        <v>8</v>
      </c>
      <c r="H49" s="192" t="s">
        <v>9</v>
      </c>
      <c r="I49" s="192" t="s">
        <v>10</v>
      </c>
      <c r="J49" s="192" t="s">
        <v>11</v>
      </c>
      <c r="K49" s="192" t="s">
        <v>12</v>
      </c>
      <c r="L49" s="192" t="s">
        <v>13</v>
      </c>
      <c r="M49" s="192" t="s">
        <v>14</v>
      </c>
      <c r="N49" s="192" t="s">
        <v>15</v>
      </c>
    </row>
    <row r="50" spans="2:14" x14ac:dyDescent="0.2">
      <c r="B50" s="1" t="s">
        <v>39</v>
      </c>
      <c r="C50" s="196">
        <f t="shared" ref="C50:J55" si="4">+C27/C5</f>
        <v>10.271907744541357</v>
      </c>
      <c r="D50" s="196">
        <f t="shared" si="4"/>
        <v>9.6811188811188806</v>
      </c>
      <c r="E50" s="196">
        <f t="shared" si="4"/>
        <v>12.193283809911469</v>
      </c>
      <c r="F50" s="196">
        <f t="shared" si="4"/>
        <v>10.854593874833554</v>
      </c>
      <c r="G50" s="196">
        <f t="shared" si="4"/>
        <v>12.860558620153833</v>
      </c>
      <c r="H50" s="196">
        <f>+H27/H5</f>
        <v>12.540999076416496</v>
      </c>
      <c r="I50" s="196">
        <f>+I27/I5</f>
        <v>13.55750849830034</v>
      </c>
      <c r="J50" s="196">
        <f>+J27/J5</f>
        <v>13.748946786227023</v>
      </c>
      <c r="K50" s="192"/>
      <c r="L50" s="192"/>
      <c r="M50" s="192"/>
      <c r="N50" s="192"/>
    </row>
    <row r="51" spans="2:14" x14ac:dyDescent="0.2">
      <c r="B51" s="1" t="s">
        <v>40</v>
      </c>
      <c r="C51" s="196">
        <f t="shared" si="4"/>
        <v>15.2</v>
      </c>
      <c r="D51" s="196">
        <f t="shared" si="4"/>
        <v>21.453010692177827</v>
      </c>
      <c r="E51" s="196">
        <f t="shared" si="4"/>
        <v>19.427865168539327</v>
      </c>
      <c r="F51" s="196">
        <f t="shared" si="4"/>
        <v>20.986835689907362</v>
      </c>
      <c r="G51" s="196">
        <f t="shared" si="4"/>
        <v>19.171918443002781</v>
      </c>
      <c r="H51" s="196">
        <f t="shared" si="4"/>
        <v>18.085565773690522</v>
      </c>
      <c r="I51" s="196">
        <f t="shared" si="4"/>
        <v>20.782012847965738</v>
      </c>
      <c r="J51" s="196">
        <f t="shared" si="4"/>
        <v>16.592291220556746</v>
      </c>
      <c r="K51" s="192"/>
      <c r="L51" s="192"/>
      <c r="M51" s="192"/>
      <c r="N51" s="192"/>
    </row>
    <row r="52" spans="2:14" x14ac:dyDescent="0.2">
      <c r="B52" s="182" t="s">
        <v>41</v>
      </c>
      <c r="C52" s="196">
        <f t="shared" si="4"/>
        <v>24.321428571428573</v>
      </c>
      <c r="D52" s="196">
        <f t="shared" si="4"/>
        <v>25.936144578313254</v>
      </c>
      <c r="E52" s="196">
        <f t="shared" si="4"/>
        <v>25.063112078346027</v>
      </c>
      <c r="F52" s="196">
        <f t="shared" si="4"/>
        <v>20.235936188077247</v>
      </c>
      <c r="G52" s="196">
        <f t="shared" si="4"/>
        <v>25.644047619047619</v>
      </c>
      <c r="H52" s="196">
        <f t="shared" si="4"/>
        <v>26.285444234404537</v>
      </c>
      <c r="I52" s="196">
        <f t="shared" si="4"/>
        <v>26.04127358490566</v>
      </c>
      <c r="J52" s="196">
        <f t="shared" si="4"/>
        <v>25.696180555555557</v>
      </c>
      <c r="K52" s="193"/>
      <c r="L52" s="193"/>
      <c r="M52" s="193"/>
      <c r="N52" s="192"/>
    </row>
    <row r="53" spans="2:14" x14ac:dyDescent="0.2">
      <c r="B53" s="184" t="s">
        <v>317</v>
      </c>
      <c r="C53" s="196">
        <f t="shared" si="4"/>
        <v>27.063627372486224</v>
      </c>
      <c r="D53" s="196">
        <f t="shared" si="4"/>
        <v>10.055790271909869</v>
      </c>
      <c r="E53" s="196">
        <f t="shared" si="4"/>
        <v>9.9216114308394516</v>
      </c>
      <c r="F53" s="196">
        <f t="shared" si="4"/>
        <v>9.7756523547146266</v>
      </c>
      <c r="G53" s="196">
        <f t="shared" si="4"/>
        <v>9.5146156622158067</v>
      </c>
      <c r="H53" s="196">
        <f t="shared" si="4"/>
        <v>9.2968432222123969</v>
      </c>
      <c r="I53" s="196">
        <f t="shared" si="4"/>
        <v>9.9418101278566393</v>
      </c>
      <c r="J53" s="196">
        <f t="shared" si="4"/>
        <v>9.9593674500329445</v>
      </c>
      <c r="K53" s="192"/>
      <c r="L53" s="192"/>
      <c r="M53" s="193"/>
      <c r="N53" s="192"/>
    </row>
    <row r="54" spans="2:14" x14ac:dyDescent="0.2">
      <c r="B54" s="184" t="s">
        <v>42</v>
      </c>
      <c r="C54" s="196">
        <f t="shared" si="4"/>
        <v>12.650527622594662</v>
      </c>
      <c r="D54" s="196">
        <f t="shared" si="4"/>
        <v>13.244</v>
      </c>
      <c r="E54" s="196">
        <f t="shared" si="4"/>
        <v>12.933547695605574</v>
      </c>
      <c r="F54" s="196">
        <f t="shared" si="4"/>
        <v>12.977759914255092</v>
      </c>
      <c r="G54" s="196">
        <f t="shared" si="4"/>
        <v>13.57946923301254</v>
      </c>
      <c r="H54" s="196">
        <f t="shared" si="4"/>
        <v>12.857776682277544</v>
      </c>
      <c r="I54" s="196">
        <f t="shared" si="4"/>
        <v>13.426864879214229</v>
      </c>
      <c r="J54" s="196">
        <f t="shared" si="4"/>
        <v>14.171996274448929</v>
      </c>
      <c r="K54" s="192"/>
      <c r="L54" s="192"/>
      <c r="M54" s="193"/>
      <c r="N54" s="192"/>
    </row>
    <row r="55" spans="2:14" x14ac:dyDescent="0.2">
      <c r="B55" s="184" t="s">
        <v>43</v>
      </c>
      <c r="C55" s="196">
        <f t="shared" si="4"/>
        <v>10.731707317073171</v>
      </c>
      <c r="D55" s="196">
        <f t="shared" si="4"/>
        <v>15.927165354330709</v>
      </c>
      <c r="E55" s="196">
        <f t="shared" si="4"/>
        <v>9.5768707482993189</v>
      </c>
      <c r="F55" s="196">
        <f t="shared" si="4"/>
        <v>9.3374149659863939</v>
      </c>
      <c r="G55" s="196">
        <f t="shared" si="4"/>
        <v>12.922199170124481</v>
      </c>
      <c r="H55" s="196">
        <f t="shared" si="4"/>
        <v>16.161825726141078</v>
      </c>
      <c r="I55" s="196">
        <f t="shared" si="4"/>
        <v>12.727452923686819</v>
      </c>
      <c r="J55" s="196">
        <f t="shared" si="4"/>
        <v>11.061728395061728</v>
      </c>
      <c r="K55" s="192"/>
      <c r="L55" s="192"/>
      <c r="M55" s="193"/>
      <c r="N55" s="192"/>
    </row>
    <row r="56" spans="2:14" x14ac:dyDescent="0.2">
      <c r="C56" s="8">
        <f t="shared" ref="C56:J56" si="5">(C50+C51+C52+C53+C54+C55)/6</f>
        <v>16.706533104687331</v>
      </c>
      <c r="D56" s="8">
        <f t="shared" si="5"/>
        <v>16.049538296308423</v>
      </c>
      <c r="E56" s="8">
        <f t="shared" si="5"/>
        <v>14.85271515525686</v>
      </c>
      <c r="F56" s="8">
        <f t="shared" si="5"/>
        <v>14.028032164629046</v>
      </c>
      <c r="G56" s="8">
        <f t="shared" si="5"/>
        <v>15.615468124592844</v>
      </c>
      <c r="H56" s="8">
        <f t="shared" si="5"/>
        <v>15.87140911919043</v>
      </c>
      <c r="I56" s="8">
        <f t="shared" si="5"/>
        <v>16.079487143654905</v>
      </c>
      <c r="J56" s="8">
        <f t="shared" si="5"/>
        <v>15.205085113647153</v>
      </c>
    </row>
    <row r="58" spans="2:14" x14ac:dyDescent="0.2">
      <c r="E58" s="187" t="s">
        <v>331</v>
      </c>
    </row>
    <row r="59" spans="2:14" x14ac:dyDescent="0.2">
      <c r="C59" s="315" t="s">
        <v>4</v>
      </c>
      <c r="D59" s="315" t="s">
        <v>5</v>
      </c>
      <c r="E59" s="315" t="s">
        <v>6</v>
      </c>
      <c r="F59" s="315" t="s">
        <v>7</v>
      </c>
      <c r="G59" s="315" t="s">
        <v>8</v>
      </c>
      <c r="H59" s="315" t="s">
        <v>9</v>
      </c>
      <c r="I59" s="315" t="s">
        <v>10</v>
      </c>
      <c r="J59" s="315" t="s">
        <v>11</v>
      </c>
      <c r="K59" s="315" t="s">
        <v>12</v>
      </c>
      <c r="L59" s="315" t="s">
        <v>13</v>
      </c>
      <c r="M59" s="315" t="s">
        <v>14</v>
      </c>
      <c r="N59" s="315" t="s">
        <v>15</v>
      </c>
    </row>
    <row r="60" spans="2:14" x14ac:dyDescent="0.2">
      <c r="B60" s="1" t="s">
        <v>39</v>
      </c>
      <c r="C60" s="196">
        <f t="shared" ref="C60:J60" si="6">+C39/C16</f>
        <v>13.616894844159628</v>
      </c>
      <c r="D60" s="196">
        <f t="shared" si="6"/>
        <v>19.228162884675164</v>
      </c>
      <c r="E60" s="196">
        <f t="shared" si="6"/>
        <v>13.363164663621447</v>
      </c>
      <c r="F60" s="196">
        <f t="shared" si="6"/>
        <v>13.350870261846755</v>
      </c>
      <c r="G60" s="196">
        <f t="shared" si="6"/>
        <v>12.94014607208598</v>
      </c>
      <c r="H60" s="196">
        <f t="shared" si="6"/>
        <v>12.614306634289211</v>
      </c>
      <c r="I60" s="196">
        <f t="shared" si="6"/>
        <v>13.970779593994989</v>
      </c>
      <c r="J60" s="196">
        <f t="shared" si="6"/>
        <v>14.279482998417341</v>
      </c>
      <c r="K60" s="315"/>
      <c r="L60" s="315"/>
      <c r="M60" s="315"/>
      <c r="N60" s="315"/>
    </row>
    <row r="61" spans="2:14" x14ac:dyDescent="0.2">
      <c r="B61" s="1" t="s">
        <v>40</v>
      </c>
      <c r="C61" s="196">
        <f t="shared" ref="C61:J65" si="7">+C40/C17</f>
        <v>21.496165191740413</v>
      </c>
      <c r="D61" s="196">
        <f t="shared" si="7"/>
        <v>21.736417428725122</v>
      </c>
      <c r="E61" s="196">
        <f t="shared" si="7"/>
        <v>19.90699904122723</v>
      </c>
      <c r="F61" s="196">
        <f t="shared" si="7"/>
        <v>20.555106167846308</v>
      </c>
      <c r="G61" s="196">
        <f t="shared" si="7"/>
        <v>19.709515096065875</v>
      </c>
      <c r="H61" s="196">
        <f t="shared" si="7"/>
        <v>18.618932038834952</v>
      </c>
      <c r="I61" s="196">
        <f t="shared" si="7"/>
        <v>20.521819870009285</v>
      </c>
      <c r="J61" s="196">
        <f t="shared" si="7"/>
        <v>21.363086232980333</v>
      </c>
      <c r="K61" s="315"/>
      <c r="L61" s="315"/>
      <c r="M61" s="315"/>
      <c r="N61" s="315"/>
    </row>
    <row r="62" spans="2:14" x14ac:dyDescent="0.2">
      <c r="B62" s="182" t="s">
        <v>41</v>
      </c>
      <c r="C62" s="196">
        <f t="shared" si="7"/>
        <v>24.481865284974095</v>
      </c>
      <c r="D62" s="196">
        <f t="shared" si="7"/>
        <v>25.482163406214038</v>
      </c>
      <c r="E62" s="196">
        <f t="shared" si="7"/>
        <v>25.600231749710314</v>
      </c>
      <c r="F62" s="196">
        <f t="shared" si="7"/>
        <v>25.683222958057396</v>
      </c>
      <c r="G62" s="196">
        <f t="shared" si="7"/>
        <v>25.878504672897197</v>
      </c>
      <c r="H62" s="196">
        <f t="shared" si="7"/>
        <v>25.859078590785909</v>
      </c>
      <c r="I62" s="196">
        <f t="shared" si="7"/>
        <v>25.836956521739129</v>
      </c>
      <c r="J62" s="196">
        <f t="shared" si="7"/>
        <v>25.772277227722771</v>
      </c>
      <c r="K62" s="314"/>
      <c r="L62" s="314"/>
      <c r="M62" s="314"/>
      <c r="N62" s="315"/>
    </row>
    <row r="63" spans="2:14" x14ac:dyDescent="0.2">
      <c r="B63" s="184" t="s">
        <v>317</v>
      </c>
      <c r="C63" s="196">
        <f t="shared" si="7"/>
        <v>11.059889791183295</v>
      </c>
      <c r="D63" s="196">
        <f t="shared" si="7"/>
        <v>10.616268486916951</v>
      </c>
      <c r="E63" s="196">
        <f t="shared" si="7"/>
        <v>9.9530477759472813</v>
      </c>
      <c r="F63" s="196">
        <f t="shared" si="7"/>
        <v>9.8519311117904813</v>
      </c>
      <c r="G63" s="196">
        <f t="shared" si="7"/>
        <v>9.5743045387994137</v>
      </c>
      <c r="H63" s="196">
        <f t="shared" si="7"/>
        <v>9.3555555555555561</v>
      </c>
      <c r="I63" s="196">
        <f t="shared" si="7"/>
        <v>10.093154476737997</v>
      </c>
      <c r="J63" s="196">
        <f t="shared" si="7"/>
        <v>10.315824321341868</v>
      </c>
      <c r="K63" s="315"/>
      <c r="L63" s="315"/>
      <c r="M63" s="314"/>
      <c r="N63" s="315"/>
    </row>
    <row r="64" spans="2:14" x14ac:dyDescent="0.2">
      <c r="B64" s="184" t="s">
        <v>42</v>
      </c>
      <c r="C64" s="196">
        <f t="shared" si="7"/>
        <v>13.250158328055731</v>
      </c>
      <c r="D64" s="196">
        <f t="shared" si="7"/>
        <v>13.644936325045482</v>
      </c>
      <c r="E64" s="196">
        <f t="shared" si="7"/>
        <v>12.979277230224918</v>
      </c>
      <c r="F64" s="196">
        <f t="shared" si="7"/>
        <v>13.374725274725275</v>
      </c>
      <c r="G64" s="196">
        <f t="shared" si="7"/>
        <v>13.53945205479452</v>
      </c>
      <c r="H64" s="196">
        <f t="shared" si="7"/>
        <v>12.791491351098644</v>
      </c>
      <c r="I64" s="196">
        <f t="shared" si="7"/>
        <v>13.800992121388971</v>
      </c>
      <c r="J64" s="196">
        <f t="shared" si="7"/>
        <v>13.775065387968613</v>
      </c>
      <c r="K64" s="315"/>
      <c r="L64" s="315"/>
      <c r="M64" s="314"/>
      <c r="N64" s="315"/>
    </row>
    <row r="65" spans="2:14" x14ac:dyDescent="0.2">
      <c r="B65" s="184" t="s">
        <v>43</v>
      </c>
      <c r="C65" s="196">
        <f t="shared" si="7"/>
        <v>9.5076142131979697</v>
      </c>
      <c r="D65" s="196">
        <f t="shared" si="7"/>
        <v>14.554883318928264</v>
      </c>
      <c r="E65" s="196">
        <f t="shared" si="7"/>
        <v>11.595842956120093</v>
      </c>
      <c r="F65" s="196">
        <f t="shared" si="7"/>
        <v>11.522565320665084</v>
      </c>
      <c r="G65" s="196">
        <f t="shared" si="7"/>
        <v>12.531083481349912</v>
      </c>
      <c r="H65" s="196">
        <f t="shared" si="7"/>
        <v>12.109538002980626</v>
      </c>
      <c r="I65" s="196">
        <f t="shared" si="7"/>
        <v>13.092452830188678</v>
      </c>
      <c r="J65" s="196">
        <f t="shared" si="7"/>
        <v>11.573555166374781</v>
      </c>
      <c r="K65" s="315"/>
      <c r="L65" s="315"/>
      <c r="M65" s="314"/>
      <c r="N65" s="315"/>
    </row>
    <row r="66" spans="2:14" x14ac:dyDescent="0.2">
      <c r="C66" s="8">
        <f t="shared" ref="C66:J66" si="8">(C60+C61+C62+C63+C64+C65)/6</f>
        <v>15.568764608885189</v>
      </c>
      <c r="D66" s="8">
        <f t="shared" si="8"/>
        <v>17.543805308417504</v>
      </c>
      <c r="E66" s="8">
        <f t="shared" si="8"/>
        <v>15.566427236141882</v>
      </c>
      <c r="F66" s="8">
        <f t="shared" si="8"/>
        <v>15.723070182488549</v>
      </c>
      <c r="G66" s="8">
        <f t="shared" si="8"/>
        <v>15.695500985998814</v>
      </c>
      <c r="H66" s="8">
        <f t="shared" si="8"/>
        <v>15.22481702892415</v>
      </c>
      <c r="I66" s="8">
        <f t="shared" si="8"/>
        <v>16.219359235676507</v>
      </c>
      <c r="J66" s="8">
        <f t="shared" si="8"/>
        <v>16.179881889134283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workbookViewId="0">
      <selection activeCell="H12" sqref="H12"/>
    </sheetView>
  </sheetViews>
  <sheetFormatPr baseColWidth="10" defaultRowHeight="11.25" x14ac:dyDescent="0.2"/>
  <cols>
    <col min="1" max="1" width="11.42578125" style="1"/>
    <col min="2" max="2" width="29.28515625" style="1" customWidth="1"/>
    <col min="3" max="16384" width="11.42578125" style="1"/>
  </cols>
  <sheetData>
    <row r="2" spans="1:16" x14ac:dyDescent="0.2">
      <c r="E2" s="199"/>
      <c r="F2" s="199"/>
    </row>
    <row r="3" spans="1:16" x14ac:dyDescent="0.2">
      <c r="H3" s="1">
        <v>2017</v>
      </c>
    </row>
    <row r="4" spans="1:16" x14ac:dyDescent="0.2">
      <c r="C4" s="200" t="s">
        <v>4</v>
      </c>
      <c r="D4" s="200" t="s">
        <v>5</v>
      </c>
      <c r="E4" s="200" t="s">
        <v>6</v>
      </c>
      <c r="F4" s="200" t="s">
        <v>7</v>
      </c>
      <c r="G4" s="200" t="s">
        <v>8</v>
      </c>
      <c r="H4" s="200" t="s">
        <v>9</v>
      </c>
      <c r="I4" s="200" t="s">
        <v>10</v>
      </c>
      <c r="J4" s="200" t="s">
        <v>11</v>
      </c>
      <c r="K4" s="200" t="s">
        <v>12</v>
      </c>
      <c r="L4" s="200" t="s">
        <v>13</v>
      </c>
      <c r="M4" s="200" t="s">
        <v>14</v>
      </c>
      <c r="N4" s="200" t="s">
        <v>15</v>
      </c>
    </row>
    <row r="5" spans="1:16" x14ac:dyDescent="0.2">
      <c r="B5" s="3" t="s">
        <v>16</v>
      </c>
      <c r="C5" s="4">
        <f>+(55193/94279)</f>
        <v>0.58542199217216984</v>
      </c>
      <c r="D5" s="4">
        <f>+(53480/75395)</f>
        <v>0.709330857483918</v>
      </c>
      <c r="E5" s="5">
        <f>+'EXTRA - FACT'!$E$11/'EXTRA - FACT'!$E$10</f>
        <v>0.63157764650633974</v>
      </c>
      <c r="F5" s="6">
        <f>+'EXTRA - FACT'!$F$11/'EXTRA - FACT'!$F$10</f>
        <v>0.61888202565069783</v>
      </c>
      <c r="G5" s="7">
        <f>+'EXTRA - FACT'!F11/'EXTRA - FACT'!F10</f>
        <v>0.61888202565069783</v>
      </c>
      <c r="H5" s="7">
        <f>+'EXTRA - FACT'!G11/'EXTRA - FACT'!G10</f>
        <v>0.58821984659320936</v>
      </c>
      <c r="I5" s="309">
        <f>+'EXTRA - FACT'!H11/'EXTRA - FACT'!H10</f>
        <v>0.64090924226111856</v>
      </c>
      <c r="J5" s="12">
        <f>+'EXTRA - FACT'!I11/'EXTRA - FACT'!I10</f>
        <v>0.71209427229586397</v>
      </c>
      <c r="K5" s="13">
        <f>+'EXTRA - FACT'!$K$11/'EXTRA - FACT'!$K$10</f>
        <v>0.71614672121832024</v>
      </c>
      <c r="L5" s="14">
        <f>+'EXTRA - FACT'!K11/'EXTRA - FACT'!K10</f>
        <v>0.71614672121832024</v>
      </c>
      <c r="M5" s="15">
        <f>+'EXTRA - FACT'!L11/'EXTRA - FACT'!L10</f>
        <v>0.66157131005970271</v>
      </c>
      <c r="N5" s="16">
        <f>+'EXTRA - FACT'!M11/'EXTRA - FACT'!M10</f>
        <v>0.54008714028542359</v>
      </c>
    </row>
    <row r="6" spans="1:16" x14ac:dyDescent="0.2">
      <c r="B6" s="3" t="s">
        <v>17</v>
      </c>
      <c r="C6" s="4">
        <f>991084/1023881</f>
        <v>0.96796795721377782</v>
      </c>
      <c r="D6" s="4">
        <f>+(621023/656056)</f>
        <v>0.94660059507115246</v>
      </c>
      <c r="E6" s="6">
        <f>618269/[7]Hoja1!$F$21</f>
        <v>0.98356193585130181</v>
      </c>
      <c r="F6" s="6">
        <f>597596/636297</f>
        <v>0.9391777739011814</v>
      </c>
      <c r="G6" s="7">
        <f>+[7]Hoja1!$H$21/715243</f>
        <v>0.91561189693572675</v>
      </c>
      <c r="H6" s="7">
        <f>883674/[8]Hoja1!$I$21</f>
        <v>1.3380302803177935</v>
      </c>
      <c r="I6" s="309">
        <f>+[9]INGRESO!$I$6/[9]FACTURACIÓN!$I$6</f>
        <v>0.97812205946638808</v>
      </c>
      <c r="J6" s="12">
        <f>+[9]INGRESO!$J$6/[9]FACTURACIÓN!$J$6</f>
        <v>1.045089335751036</v>
      </c>
      <c r="K6" s="13">
        <f>+[10]INGRESO!$K$6/[10]FACTURACIÓN!$K$6</f>
        <v>0.94856217474018523</v>
      </c>
      <c r="L6" s="14">
        <f>+[1]INGRESO!$L$6/[1]FACTURACIÓN!$L$6</f>
        <v>1.1457351466882577</v>
      </c>
      <c r="M6" s="15">
        <f>+[1]INGRESO!$M$6/[1]FACTURACIÓN!$M$5</f>
        <v>1.0679720345550425</v>
      </c>
      <c r="N6" s="16">
        <f>+[1]INGRESO!$N$6/[1]FACTURACIÓN!$N$6</f>
        <v>0.75493556762611702</v>
      </c>
    </row>
    <row r="7" spans="1:16" x14ac:dyDescent="0.2">
      <c r="B7" s="3" t="s">
        <v>18</v>
      </c>
      <c r="C7" s="4">
        <f>+(C5*C6)</f>
        <v>0.56666972987091546</v>
      </c>
      <c r="D7" s="4">
        <f>+(D5*D6)</f>
        <v>0.67145301179660766</v>
      </c>
      <c r="E7" s="6">
        <f>+E5*E6</f>
        <v>0.62119573263818473</v>
      </c>
      <c r="F7" s="6">
        <f>+F6*F5</f>
        <v>0.58124024315807621</v>
      </c>
      <c r="G7" s="7">
        <f>+G5/G6</f>
        <v>0.67592178271373149</v>
      </c>
      <c r="H7" s="7">
        <f>+H6*H5</f>
        <v>0.78705596622560137</v>
      </c>
      <c r="I7" s="309">
        <f>+I5*I6</f>
        <v>0.62688746797148753</v>
      </c>
      <c r="J7" s="12">
        <f>+J5*J6</f>
        <v>0.74420213002580182</v>
      </c>
      <c r="K7" s="13">
        <f>+K6*K5</f>
        <v>0.679309691311903</v>
      </c>
      <c r="L7" s="14">
        <f>+L5*L6</f>
        <v>0.82051446868538691</v>
      </c>
      <c r="M7" s="15">
        <f>+M5*M6</f>
        <v>0.70653965800770557</v>
      </c>
      <c r="N7" s="16">
        <f>+N5*N6</f>
        <v>0.40773099181894257</v>
      </c>
      <c r="O7" s="17">
        <f>SUM(C7:N7)</f>
        <v>7.8887208742243438</v>
      </c>
      <c r="P7" s="18">
        <f>+O7/12</f>
        <v>0.65739340618536202</v>
      </c>
    </row>
    <row r="8" spans="1:16" x14ac:dyDescent="0.2">
      <c r="A8" s="20"/>
      <c r="B8" s="20"/>
      <c r="C8" s="20"/>
      <c r="D8" s="20"/>
      <c r="E8" s="20"/>
      <c r="F8" s="20"/>
      <c r="G8" s="20"/>
      <c r="H8" s="20">
        <v>2018</v>
      </c>
      <c r="I8" s="20"/>
      <c r="J8" s="20"/>
    </row>
    <row r="9" spans="1:16" x14ac:dyDescent="0.2">
      <c r="A9" s="20"/>
      <c r="B9" s="3" t="s">
        <v>16</v>
      </c>
      <c r="C9" s="4" t="e">
        <f>INDICADORES!#REF!</f>
        <v>#REF!</v>
      </c>
      <c r="D9" s="4" t="e">
        <f>INDICADORES!#REF!</f>
        <v>#REF!</v>
      </c>
      <c r="E9" s="5" t="e">
        <f>INDICADORES!#REF!</f>
        <v>#REF!</v>
      </c>
      <c r="F9" s="6" t="e">
        <f>INDICADORES!#REF!</f>
        <v>#REF!</v>
      </c>
      <c r="G9" s="7">
        <v>0.72</v>
      </c>
      <c r="H9" s="11">
        <v>0.79</v>
      </c>
      <c r="I9" s="12">
        <v>0.72</v>
      </c>
      <c r="J9" s="12">
        <v>0.7906123805142361</v>
      </c>
      <c r="K9" s="13">
        <v>0.82335406749501927</v>
      </c>
      <c r="L9" s="14">
        <v>0.73823121942944381</v>
      </c>
      <c r="M9" s="15">
        <v>0.75030182821662639</v>
      </c>
      <c r="N9" s="16">
        <v>0.63648348862267856</v>
      </c>
    </row>
    <row r="10" spans="1:16" x14ac:dyDescent="0.2">
      <c r="A10" s="20"/>
      <c r="B10" s="3" t="s">
        <v>17</v>
      </c>
      <c r="C10" s="4" t="e">
        <f>INDICADORES!#REF!</f>
        <v>#REF!</v>
      </c>
      <c r="D10" s="4" t="e">
        <f>INDICADORES!#REF!</f>
        <v>#REF!</v>
      </c>
      <c r="E10" s="6" t="e">
        <f>INDICADORES!#REF!</f>
        <v>#REF!</v>
      </c>
      <c r="F10" s="6" t="e">
        <f>INDICADORES!#REF!</f>
        <v>#REF!</v>
      </c>
      <c r="G10" s="7">
        <v>0.99</v>
      </c>
      <c r="H10" s="11">
        <v>0.96</v>
      </c>
      <c r="I10" s="12">
        <v>0.97</v>
      </c>
      <c r="J10" s="12">
        <v>0.97695726928527227</v>
      </c>
      <c r="K10" s="13">
        <v>0.96027546069220693</v>
      </c>
      <c r="L10" s="14">
        <v>1.0311223222952077</v>
      </c>
      <c r="M10" s="15">
        <v>1.0656540399432208</v>
      </c>
      <c r="N10" s="16">
        <v>0.90322981661435653</v>
      </c>
    </row>
    <row r="11" spans="1:16" x14ac:dyDescent="0.2">
      <c r="A11" s="20"/>
      <c r="B11" s="197" t="s">
        <v>18</v>
      </c>
      <c r="C11" s="4" t="e">
        <f>INDICADORES!#REF!</f>
        <v>#REF!</v>
      </c>
      <c r="D11" s="4" t="e">
        <f>INDICADORES!#REF!</f>
        <v>#REF!</v>
      </c>
      <c r="E11" s="6" t="e">
        <f>INDICADORES!#REF!</f>
        <v>#REF!</v>
      </c>
      <c r="F11" s="6" t="e">
        <f>INDICADORES!#REF!</f>
        <v>#REF!</v>
      </c>
      <c r="G11" s="7">
        <v>0.71</v>
      </c>
      <c r="H11" s="11">
        <v>0.76</v>
      </c>
      <c r="I11" s="12">
        <v>0.7</v>
      </c>
      <c r="J11" s="12">
        <v>0.77239451233031675</v>
      </c>
      <c r="K11" s="13">
        <v>0.79064670647658208</v>
      </c>
      <c r="L11" s="14">
        <v>0.76120668936891123</v>
      </c>
      <c r="M11" s="15">
        <v>0.79956217441583244</v>
      </c>
      <c r="N11" s="16">
        <v>0.57489086470672779</v>
      </c>
      <c r="O11" s="17" t="e">
        <f>SUM(C11:N11)</f>
        <v>#REF!</v>
      </c>
      <c r="P11" s="18" t="e">
        <f>+O11/12</f>
        <v>#REF!</v>
      </c>
    </row>
    <row r="12" spans="1:16" x14ac:dyDescent="0.2">
      <c r="A12" s="20"/>
      <c r="B12" s="20"/>
      <c r="C12" s="20"/>
      <c r="D12" s="20"/>
      <c r="E12" s="20"/>
      <c r="F12" s="20"/>
      <c r="G12" s="20"/>
      <c r="H12" s="408">
        <v>2019</v>
      </c>
      <c r="I12" s="20"/>
      <c r="J12" s="20"/>
    </row>
    <row r="13" spans="1:16" x14ac:dyDescent="0.2">
      <c r="B13" s="3" t="s">
        <v>16</v>
      </c>
      <c r="C13" s="228">
        <v>0.61397922430443175</v>
      </c>
      <c r="D13" s="228">
        <v>0.74133387666395001</v>
      </c>
      <c r="E13" s="228">
        <v>0.67415189412985566</v>
      </c>
      <c r="F13" s="228">
        <v>0.66673352193556557</v>
      </c>
      <c r="G13" s="228">
        <v>0.66187950886245284</v>
      </c>
      <c r="H13" s="228">
        <v>0.84676785594000492</v>
      </c>
      <c r="I13" s="228">
        <v>0.69039019818501846</v>
      </c>
      <c r="J13" s="228">
        <v>0.65555568067927161</v>
      </c>
      <c r="K13" s="228">
        <v>0.64717000584212514</v>
      </c>
      <c r="L13" s="228">
        <v>0.7182160979470229</v>
      </c>
      <c r="M13" s="228">
        <v>0.73300256587987789</v>
      </c>
      <c r="N13" s="307"/>
      <c r="O13" s="17">
        <f>SUM(C13:N13)</f>
        <v>7.6491804303695776</v>
      </c>
      <c r="P13" s="18">
        <f>+O13/10</f>
        <v>0.76491804303695776</v>
      </c>
    </row>
    <row r="14" spans="1:16" x14ac:dyDescent="0.2">
      <c r="B14" s="3" t="s">
        <v>17</v>
      </c>
      <c r="C14" s="228">
        <v>0.98</v>
      </c>
      <c r="D14" s="228">
        <v>0.81177903195228307</v>
      </c>
      <c r="E14" s="228">
        <v>0.97902592008025491</v>
      </c>
      <c r="F14" s="228">
        <v>1.0086790366774023</v>
      </c>
      <c r="G14" s="228">
        <v>1.0086790366774023</v>
      </c>
      <c r="H14" s="228">
        <v>0.92732253560339273</v>
      </c>
      <c r="I14" s="228">
        <v>1.0943220624308596</v>
      </c>
      <c r="J14" s="228">
        <v>0.98542253736361141</v>
      </c>
      <c r="K14" s="228">
        <v>1.0077483241571277</v>
      </c>
      <c r="L14" s="228">
        <v>1.0077483241571277</v>
      </c>
      <c r="M14" s="228">
        <v>1.0584266032977947</v>
      </c>
      <c r="N14" s="307"/>
      <c r="O14" s="17">
        <f t="shared" ref="O14:O15" si="0">SUM(C14:N14)</f>
        <v>10.869153412397257</v>
      </c>
      <c r="P14" s="18">
        <f t="shared" ref="P14:P15" si="1">+O14/10</f>
        <v>1.0869153412397257</v>
      </c>
    </row>
    <row r="15" spans="1:16" x14ac:dyDescent="0.2">
      <c r="B15" s="197" t="s">
        <v>18</v>
      </c>
      <c r="C15" s="228">
        <v>0.78723179966179724</v>
      </c>
      <c r="D15" s="228">
        <v>0.60179929675169452</v>
      </c>
      <c r="E15" s="228">
        <v>0.66001217842432858</v>
      </c>
      <c r="F15" s="228">
        <v>0.67252012662649796</v>
      </c>
      <c r="G15" s="228">
        <v>0.66762398539589107</v>
      </c>
      <c r="H15" s="228">
        <v>0.78522691523773369</v>
      </c>
      <c r="I15" s="228">
        <v>0.75550922555987932</v>
      </c>
      <c r="J15" s="228">
        <v>0.64599934223809719</v>
      </c>
      <c r="K15" s="228">
        <v>0.65218448883216018</v>
      </c>
      <c r="L15" s="228">
        <v>0.72378106908878381</v>
      </c>
      <c r="M15" s="228">
        <v>0.77582941601280708</v>
      </c>
      <c r="N15" s="307"/>
      <c r="O15" s="17">
        <f t="shared" si="0"/>
        <v>7.7277178438296703</v>
      </c>
      <c r="P15" s="18">
        <f t="shared" si="1"/>
        <v>0.77277178438296701</v>
      </c>
    </row>
    <row r="19" spans="12:15" x14ac:dyDescent="0.2">
      <c r="L19" s="198"/>
    </row>
    <row r="20" spans="12:15" x14ac:dyDescent="0.2">
      <c r="L20" s="198"/>
    </row>
    <row r="21" spans="12:15" x14ac:dyDescent="0.2">
      <c r="L21" s="198"/>
    </row>
    <row r="22" spans="12:15" x14ac:dyDescent="0.2">
      <c r="L22" s="20"/>
    </row>
    <row r="31" spans="12:15" x14ac:dyDescent="0.2">
      <c r="O31" s="17"/>
    </row>
    <row r="32" spans="12:15" x14ac:dyDescent="0.2">
      <c r="O32" s="17"/>
    </row>
    <row r="33" spans="3:15" x14ac:dyDescent="0.2">
      <c r="O33" s="17"/>
    </row>
    <row r="34" spans="3:15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INDICADORES</vt:lpstr>
      <vt:lpstr>m3 entregados</vt:lpstr>
      <vt:lpstr>EXTRA - FACT</vt:lpstr>
      <vt:lpstr>EXTRACC. POZOS</vt:lpstr>
      <vt:lpstr>TRATAMIENTO DE AGUA</vt:lpstr>
      <vt:lpstr>SIOO17</vt:lpstr>
      <vt:lpstr>INGRESO POR RANGOS</vt:lpstr>
      <vt:lpstr>GRAFICOS POR USO</vt:lpstr>
      <vt:lpstr>eficiencias</vt:lpstr>
      <vt:lpstr>ORDENES </vt:lpstr>
      <vt:lpstr>DISTRI  CONS</vt:lpstr>
      <vt:lpstr>CUENTAS</vt:lpstr>
      <vt:lpstr>INDICADORES DE GESTIÓN DEL 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COMERCIAL CMAPAS</dc:creator>
  <cp:lastModifiedBy>miguel</cp:lastModifiedBy>
  <cp:lastPrinted>2018-07-18T21:27:14Z</cp:lastPrinted>
  <dcterms:created xsi:type="dcterms:W3CDTF">2017-03-06T17:34:13Z</dcterms:created>
  <dcterms:modified xsi:type="dcterms:W3CDTF">2020-01-07T17:51:54Z</dcterms:modified>
</cp:coreProperties>
</file>