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SORERIA\Desktop\2020\1RA DE FEBRERO\"/>
    </mc:Choice>
  </mc:AlternateContent>
  <bookViews>
    <workbookView xWindow="0" yWindow="0" windowWidth="20490" windowHeight="7455" tabRatio="771"/>
  </bookViews>
  <sheets>
    <sheet name="NOMINA_ADM._2019" sheetId="91" r:id="rId1"/>
    <sheet name="NOMINA PENSIONADOS " sheetId="94" r:id="rId2"/>
    <sheet name="NOMINA SEGURIDAD" sheetId="95" r:id="rId3"/>
    <sheet name="tarifa" sheetId="2" r:id="rId4"/>
    <sheet name="calculadora " sheetId="93" r:id="rId5"/>
    <sheet name="Hoja1" sheetId="96" r:id="rId6"/>
  </sheets>
  <definedNames>
    <definedName name="_45" localSheetId="0">#REF!</definedName>
    <definedName name="_45">#REF!</definedName>
    <definedName name="CREDITO" localSheetId="0">#REF!</definedName>
    <definedName name="CREDITO">#REF!</definedName>
    <definedName name="Credito1">tarifa!$F$50:$G$60</definedName>
    <definedName name="Subsidio1" localSheetId="0">tarifa!#REF!</definedName>
    <definedName name="Subsidio1">tarifa!#REF!</definedName>
    <definedName name="TABLA" localSheetId="0">#REF!</definedName>
    <definedName name="TABLA">#REF!</definedName>
    <definedName name="Tarifa1">tarifa!$B$50:$D$57</definedName>
  </definedNames>
  <calcPr calcId="152511"/>
</workbook>
</file>

<file path=xl/calcChain.xml><?xml version="1.0" encoding="utf-8"?>
<calcChain xmlns="http://schemas.openxmlformats.org/spreadsheetml/2006/main">
  <c r="AD188" i="91" l="1"/>
  <c r="M188" i="91"/>
  <c r="M187" i="91"/>
  <c r="AD157" i="91"/>
  <c r="AD158" i="91"/>
  <c r="AD159" i="91"/>
  <c r="AD160" i="91"/>
  <c r="AD161" i="91"/>
  <c r="AD162" i="91"/>
  <c r="AD163" i="91"/>
  <c r="M157" i="91"/>
  <c r="M158" i="91"/>
  <c r="M159" i="91"/>
  <c r="M160" i="91"/>
  <c r="M161" i="91"/>
  <c r="M162" i="91"/>
  <c r="M163" i="91"/>
  <c r="M164" i="91"/>
  <c r="M149" i="91"/>
  <c r="M150" i="91"/>
  <c r="M151" i="91"/>
  <c r="AE151" i="91" s="1"/>
  <c r="M152" i="91"/>
  <c r="AE152" i="91" s="1"/>
  <c r="M153" i="91"/>
  <c r="M154" i="91"/>
  <c r="AD149" i="91"/>
  <c r="AD150" i="91"/>
  <c r="AD151" i="91"/>
  <c r="AD152" i="91"/>
  <c r="AD153" i="91"/>
  <c r="AD154" i="91"/>
  <c r="AE155" i="91"/>
  <c r="AE188" i="91" l="1"/>
  <c r="AE196" i="91" s="1"/>
  <c r="AE153" i="91"/>
  <c r="AE149" i="91"/>
  <c r="AE163" i="91"/>
  <c r="AE159" i="91"/>
  <c r="AE150" i="91"/>
  <c r="AE162" i="91"/>
  <c r="AE158" i="91"/>
  <c r="AE161" i="91"/>
  <c r="AE157" i="91"/>
  <c r="AE160" i="91"/>
  <c r="AE154" i="91"/>
  <c r="AN49" i="93"/>
  <c r="AO49" i="93"/>
  <c r="AN27" i="93"/>
  <c r="AO27" i="93"/>
  <c r="AJ27" i="93"/>
  <c r="AC19" i="96"/>
  <c r="AB19" i="96"/>
  <c r="AA19" i="96"/>
  <c r="Z19" i="96"/>
  <c r="Y19" i="96"/>
  <c r="N19" i="96"/>
  <c r="L19" i="96"/>
  <c r="K19" i="96"/>
  <c r="J19" i="96"/>
  <c r="I19" i="96"/>
  <c r="G19" i="96"/>
  <c r="F19" i="96"/>
  <c r="AD18" i="96"/>
  <c r="M18" i="96"/>
  <c r="H18" i="96"/>
  <c r="E18" i="96"/>
  <c r="O18" i="96"/>
  <c r="P18" i="96"/>
  <c r="O17" i="96"/>
  <c r="H17" i="96"/>
  <c r="AD16" i="96"/>
  <c r="M16" i="96"/>
  <c r="AE16" i="96"/>
  <c r="E16" i="96"/>
  <c r="AD15" i="96"/>
  <c r="M15" i="96"/>
  <c r="AE15" i="96"/>
  <c r="E15" i="96"/>
  <c r="AD14" i="96"/>
  <c r="M14" i="96"/>
  <c r="AE14" i="96"/>
  <c r="H14" i="96"/>
  <c r="P14" i="96"/>
  <c r="E14" i="96"/>
  <c r="O14" i="96"/>
  <c r="AD13" i="96"/>
  <c r="M13" i="96"/>
  <c r="AE13" i="96"/>
  <c r="H13" i="96"/>
  <c r="E13" i="96"/>
  <c r="O13" i="96"/>
  <c r="AE12" i="96"/>
  <c r="AD12" i="96"/>
  <c r="O12" i="96"/>
  <c r="P12" i="96"/>
  <c r="M12" i="96"/>
  <c r="H12" i="96"/>
  <c r="E12" i="96"/>
  <c r="AD11" i="96"/>
  <c r="M11" i="96"/>
  <c r="AE11" i="96"/>
  <c r="H11" i="96"/>
  <c r="E11" i="96"/>
  <c r="O11" i="96"/>
  <c r="P11" i="96"/>
  <c r="AD10" i="96"/>
  <c r="M10" i="96"/>
  <c r="AE10" i="96"/>
  <c r="H10" i="96"/>
  <c r="E10" i="96"/>
  <c r="O10" i="96"/>
  <c r="AD9" i="96"/>
  <c r="M9" i="96"/>
  <c r="AE9" i="96"/>
  <c r="H9" i="96"/>
  <c r="E9" i="96"/>
  <c r="O9" i="96"/>
  <c r="AD8" i="96"/>
  <c r="M8" i="96"/>
  <c r="AE8" i="96"/>
  <c r="H8" i="96"/>
  <c r="E8" i="96"/>
  <c r="O8" i="96"/>
  <c r="AE7" i="96"/>
  <c r="AD7" i="96"/>
  <c r="M7" i="96"/>
  <c r="H7" i="96"/>
  <c r="E7" i="96"/>
  <c r="O7" i="96"/>
  <c r="P17" i="96"/>
  <c r="AD19" i="96"/>
  <c r="P13" i="96"/>
  <c r="AE18" i="96"/>
  <c r="P8" i="96"/>
  <c r="P10" i="96"/>
  <c r="P7" i="96"/>
  <c r="M19" i="96"/>
  <c r="P9" i="96"/>
  <c r="AE19" i="96"/>
  <c r="O19" i="96"/>
  <c r="H19" i="96"/>
  <c r="E19" i="96"/>
  <c r="G20" i="91"/>
  <c r="I20" i="91"/>
  <c r="J20" i="91"/>
  <c r="K20" i="91"/>
  <c r="K201" i="91" s="1"/>
  <c r="L20" i="91"/>
  <c r="N20" i="91"/>
  <c r="Y20" i="91"/>
  <c r="Z20" i="91"/>
  <c r="AA20" i="91"/>
  <c r="AB20" i="91"/>
  <c r="AC20" i="91"/>
  <c r="F20" i="91"/>
  <c r="AD16" i="91"/>
  <c r="M16" i="91"/>
  <c r="AE16" i="91" s="1"/>
  <c r="P19" i="96"/>
  <c r="N196" i="91"/>
  <c r="Y196" i="91"/>
  <c r="Z196" i="91"/>
  <c r="AA196" i="91"/>
  <c r="AB196" i="91"/>
  <c r="AC196" i="91"/>
  <c r="F196" i="91"/>
  <c r="M195" i="91"/>
  <c r="G144" i="91"/>
  <c r="G172" i="91" s="1"/>
  <c r="I144" i="91"/>
  <c r="I172" i="91" s="1"/>
  <c r="J144" i="91"/>
  <c r="K144" i="91"/>
  <c r="L144" i="91"/>
  <c r="N144" i="91"/>
  <c r="Y144" i="91"/>
  <c r="Z144" i="91"/>
  <c r="AA144" i="91"/>
  <c r="AB144" i="91"/>
  <c r="AC144" i="91"/>
  <c r="F144" i="91"/>
  <c r="G112" i="91"/>
  <c r="I112" i="91"/>
  <c r="J112" i="91"/>
  <c r="K112" i="91"/>
  <c r="L112" i="91"/>
  <c r="Z112" i="91"/>
  <c r="AA112" i="91"/>
  <c r="AB112" i="91"/>
  <c r="AC112" i="91"/>
  <c r="F112" i="91"/>
  <c r="AB79" i="91"/>
  <c r="AC79" i="91"/>
  <c r="AA79" i="91"/>
  <c r="F79" i="91"/>
  <c r="H63" i="91"/>
  <c r="O63" i="91"/>
  <c r="O64" i="91"/>
  <c r="H64" i="91"/>
  <c r="M64" i="91"/>
  <c r="AD64" i="91"/>
  <c r="O65" i="91"/>
  <c r="H65" i="91"/>
  <c r="M65" i="91"/>
  <c r="AD65" i="91"/>
  <c r="H66" i="91"/>
  <c r="O66" i="91"/>
  <c r="O67" i="91"/>
  <c r="H67" i="91"/>
  <c r="M67" i="91"/>
  <c r="AD67" i="91"/>
  <c r="H68" i="91"/>
  <c r="O68" i="91"/>
  <c r="O69" i="91"/>
  <c r="H69" i="91"/>
  <c r="M69" i="91"/>
  <c r="AD69" i="91"/>
  <c r="H70" i="91"/>
  <c r="P70" i="91" s="1"/>
  <c r="U70" i="91" s="1"/>
  <c r="O70" i="91"/>
  <c r="O71" i="91"/>
  <c r="P71" i="91" s="1"/>
  <c r="M71" i="91"/>
  <c r="AD71" i="91"/>
  <c r="AE71" i="91" s="1"/>
  <c r="O72" i="91"/>
  <c r="H72" i="91"/>
  <c r="M72" i="91"/>
  <c r="AD72" i="91"/>
  <c r="O73" i="91"/>
  <c r="H73" i="91"/>
  <c r="M73" i="91"/>
  <c r="AD73" i="91"/>
  <c r="O74" i="91"/>
  <c r="H74" i="91"/>
  <c r="M74" i="91"/>
  <c r="AD74" i="91"/>
  <c r="O75" i="91"/>
  <c r="H75" i="91"/>
  <c r="M75" i="91"/>
  <c r="AD75" i="91"/>
  <c r="AE75" i="91" s="1"/>
  <c r="AD106" i="91"/>
  <c r="AD107" i="91"/>
  <c r="AD108" i="91"/>
  <c r="AD109" i="91"/>
  <c r="AD110" i="91"/>
  <c r="AD111" i="91"/>
  <c r="AD44" i="91"/>
  <c r="AD45" i="91"/>
  <c r="AD46" i="91"/>
  <c r="AD47" i="91"/>
  <c r="AD48" i="91"/>
  <c r="AD49" i="91"/>
  <c r="AD50" i="91"/>
  <c r="AD52" i="91"/>
  <c r="AD53" i="91"/>
  <c r="AD54" i="91"/>
  <c r="AD55" i="91"/>
  <c r="AD56" i="91"/>
  <c r="AD57" i="91"/>
  <c r="AD58" i="91"/>
  <c r="AD138" i="91"/>
  <c r="AD140" i="91"/>
  <c r="AD141" i="91"/>
  <c r="AD142" i="91"/>
  <c r="AD143" i="91"/>
  <c r="AD105" i="91"/>
  <c r="AD195" i="91"/>
  <c r="AD193" i="91"/>
  <c r="AD191" i="91"/>
  <c r="AD189" i="91"/>
  <c r="AD187" i="91"/>
  <c r="F172" i="91"/>
  <c r="M172" i="91" s="1"/>
  <c r="AJ20" i="93"/>
  <c r="M156" i="91"/>
  <c r="AD156" i="91"/>
  <c r="AD164" i="91"/>
  <c r="AE164" i="91" s="1"/>
  <c r="AD167" i="91"/>
  <c r="AD168" i="91"/>
  <c r="AE168" i="91" s="1"/>
  <c r="AD170" i="91"/>
  <c r="AD148" i="91"/>
  <c r="M57" i="91"/>
  <c r="AE57" i="91" s="1"/>
  <c r="M46" i="91"/>
  <c r="AE46" i="91" s="1"/>
  <c r="M47" i="91"/>
  <c r="AE47" i="91" s="1"/>
  <c r="M48" i="91"/>
  <c r="AE48" i="91" s="1"/>
  <c r="M49" i="91"/>
  <c r="AE49" i="91" s="1"/>
  <c r="M50" i="91"/>
  <c r="AE50" i="91" s="1"/>
  <c r="M52" i="91"/>
  <c r="AE52" i="91" s="1"/>
  <c r="AN21" i="93"/>
  <c r="M76" i="91"/>
  <c r="M77" i="91"/>
  <c r="AD40" i="91"/>
  <c r="AE40" i="91" s="1"/>
  <c r="AD41" i="91"/>
  <c r="AE41" i="91"/>
  <c r="AD42" i="91"/>
  <c r="AD43" i="91"/>
  <c r="AD76" i="91"/>
  <c r="AD77" i="91"/>
  <c r="AD78" i="91"/>
  <c r="AD39" i="91"/>
  <c r="AD17" i="91"/>
  <c r="M17" i="91"/>
  <c r="AE17" i="91" s="1"/>
  <c r="AD19" i="91"/>
  <c r="AL38" i="93"/>
  <c r="AD11" i="91"/>
  <c r="AD12" i="91"/>
  <c r="AD13" i="91"/>
  <c r="AD14" i="91"/>
  <c r="AD15" i="91"/>
  <c r="AD9" i="91"/>
  <c r="AD10" i="91"/>
  <c r="AD8" i="91"/>
  <c r="AJ75" i="93"/>
  <c r="AI6" i="93"/>
  <c r="AI7" i="93"/>
  <c r="AI8" i="93"/>
  <c r="AI9" i="93"/>
  <c r="AI10" i="93"/>
  <c r="AI11" i="93"/>
  <c r="AI12" i="93"/>
  <c r="AI13" i="93"/>
  <c r="AI14" i="93"/>
  <c r="AI15" i="93"/>
  <c r="AI16" i="93"/>
  <c r="AI17" i="93"/>
  <c r="AI18" i="93"/>
  <c r="AI19" i="93"/>
  <c r="AI20" i="93"/>
  <c r="AI22" i="93"/>
  <c r="AI23" i="93"/>
  <c r="AI24" i="93"/>
  <c r="AI25" i="93"/>
  <c r="AI26" i="93"/>
  <c r="AI27" i="93"/>
  <c r="AI28" i="93"/>
  <c r="AI29" i="93"/>
  <c r="AI30" i="93"/>
  <c r="AI31" i="93"/>
  <c r="AI32" i="93"/>
  <c r="AI33" i="93"/>
  <c r="AI34" i="93"/>
  <c r="AI35" i="93"/>
  <c r="AI36" i="93"/>
  <c r="AI37" i="93"/>
  <c r="AI38" i="93"/>
  <c r="AI39" i="93"/>
  <c r="AI40" i="93"/>
  <c r="AI41" i="93"/>
  <c r="AI42" i="93"/>
  <c r="AI43" i="93"/>
  <c r="AI44" i="93"/>
  <c r="AI45" i="93"/>
  <c r="AI46" i="93"/>
  <c r="AI47" i="93"/>
  <c r="AI48" i="93"/>
  <c r="AI49" i="93"/>
  <c r="AI50" i="93"/>
  <c r="AI51" i="93"/>
  <c r="AI52" i="93"/>
  <c r="AI53" i="93"/>
  <c r="AI54" i="93"/>
  <c r="AI55" i="93"/>
  <c r="AI56" i="93"/>
  <c r="AI57" i="93"/>
  <c r="AI58" i="93"/>
  <c r="AI59" i="93"/>
  <c r="AI60" i="93"/>
  <c r="AI61" i="93"/>
  <c r="AI62" i="93"/>
  <c r="AI63" i="93"/>
  <c r="AI64" i="93"/>
  <c r="AI65" i="93"/>
  <c r="AI66" i="93"/>
  <c r="AI67" i="93"/>
  <c r="AI68" i="93"/>
  <c r="AI69" i="93"/>
  <c r="AI70" i="93"/>
  <c r="AI71" i="93"/>
  <c r="AI72" i="93"/>
  <c r="AI73" i="93"/>
  <c r="AI74" i="93"/>
  <c r="AI75" i="93"/>
  <c r="AI76" i="93"/>
  <c r="AI77" i="93"/>
  <c r="AI78" i="93"/>
  <c r="AI79" i="93"/>
  <c r="AI80" i="93"/>
  <c r="AI81" i="93"/>
  <c r="AI82" i="93"/>
  <c r="AI83" i="93"/>
  <c r="AI84" i="93"/>
  <c r="AI85" i="93"/>
  <c r="AI86" i="93"/>
  <c r="AI87" i="93"/>
  <c r="AI88" i="93"/>
  <c r="AI89" i="93"/>
  <c r="AI90" i="93"/>
  <c r="AI91" i="93"/>
  <c r="AI92" i="93"/>
  <c r="AI93" i="93"/>
  <c r="AI94" i="93"/>
  <c r="AI95" i="93"/>
  <c r="AI96" i="93"/>
  <c r="AI97" i="93"/>
  <c r="AI98" i="93"/>
  <c r="AI99" i="93"/>
  <c r="AI100" i="93"/>
  <c r="AI101" i="93"/>
  <c r="AI102" i="93"/>
  <c r="AI103" i="93"/>
  <c r="AI104" i="93"/>
  <c r="AI105" i="93"/>
  <c r="AI106" i="93"/>
  <c r="AI107" i="93"/>
  <c r="AI108" i="93"/>
  <c r="AI5" i="93"/>
  <c r="AJ5" i="93"/>
  <c r="AJ6" i="93"/>
  <c r="AJ7" i="93"/>
  <c r="AJ8" i="93"/>
  <c r="AJ9" i="93"/>
  <c r="AJ10" i="93"/>
  <c r="AJ11" i="93"/>
  <c r="AJ12" i="93"/>
  <c r="AJ13" i="93"/>
  <c r="AJ14" i="93"/>
  <c r="AJ15" i="93"/>
  <c r="AJ16" i="93"/>
  <c r="AJ17" i="93"/>
  <c r="AJ18" i="93"/>
  <c r="AJ19" i="93"/>
  <c r="AJ22" i="93"/>
  <c r="AJ23" i="93"/>
  <c r="AJ24" i="93"/>
  <c r="AJ25" i="93"/>
  <c r="AJ26" i="93"/>
  <c r="AJ28" i="93"/>
  <c r="AJ29" i="93"/>
  <c r="AJ30" i="93"/>
  <c r="AJ31" i="93"/>
  <c r="AJ32" i="93"/>
  <c r="AJ33" i="93"/>
  <c r="AJ34" i="93"/>
  <c r="AJ35" i="93"/>
  <c r="AJ36" i="93"/>
  <c r="AJ37" i="93"/>
  <c r="AJ38" i="93"/>
  <c r="AJ39" i="93"/>
  <c r="AJ40" i="93"/>
  <c r="AJ41" i="93"/>
  <c r="AJ42" i="93"/>
  <c r="AJ43" i="93"/>
  <c r="AJ44" i="93"/>
  <c r="AJ45" i="93"/>
  <c r="AJ46" i="93"/>
  <c r="AJ47" i="93"/>
  <c r="AJ48" i="93"/>
  <c r="AJ49" i="93"/>
  <c r="AJ50" i="93"/>
  <c r="AJ51" i="93"/>
  <c r="AJ52" i="93"/>
  <c r="AJ53" i="93"/>
  <c r="AJ54" i="93"/>
  <c r="AJ55" i="93"/>
  <c r="AJ56" i="93"/>
  <c r="AJ57" i="93"/>
  <c r="AJ58" i="93"/>
  <c r="AJ59" i="93"/>
  <c r="AJ60" i="93"/>
  <c r="AJ61" i="93"/>
  <c r="AJ62" i="93"/>
  <c r="AJ63" i="93"/>
  <c r="AJ64" i="93"/>
  <c r="AJ65" i="93"/>
  <c r="AJ66" i="93"/>
  <c r="AJ67" i="93"/>
  <c r="AJ68" i="93"/>
  <c r="AJ69" i="93"/>
  <c r="AJ70" i="93"/>
  <c r="AJ71" i="93"/>
  <c r="AJ72" i="93"/>
  <c r="AJ73" i="93"/>
  <c r="AJ74" i="93"/>
  <c r="AJ76" i="93"/>
  <c r="AJ77" i="93"/>
  <c r="AJ78" i="93"/>
  <c r="AJ79" i="93"/>
  <c r="AJ80" i="93"/>
  <c r="AJ81" i="93"/>
  <c r="AJ82" i="93"/>
  <c r="AJ83" i="93"/>
  <c r="AJ84" i="93"/>
  <c r="AJ85" i="93"/>
  <c r="AJ86" i="93"/>
  <c r="AJ87" i="93"/>
  <c r="AJ88" i="93"/>
  <c r="AJ89" i="93"/>
  <c r="AJ90" i="93"/>
  <c r="AJ91" i="93"/>
  <c r="AJ92" i="93"/>
  <c r="AJ93" i="93"/>
  <c r="AJ94" i="93"/>
  <c r="AJ95" i="93"/>
  <c r="AJ96" i="93"/>
  <c r="AJ97" i="93"/>
  <c r="AJ98" i="93"/>
  <c r="AJ99" i="93"/>
  <c r="AJ100" i="93"/>
  <c r="AJ101" i="93"/>
  <c r="AJ102" i="93"/>
  <c r="AJ103" i="93"/>
  <c r="AJ104" i="93"/>
  <c r="AJ105" i="93"/>
  <c r="AJ106" i="93"/>
  <c r="AJ107" i="93"/>
  <c r="AJ108" i="93"/>
  <c r="AJ109" i="93"/>
  <c r="AN68" i="93"/>
  <c r="AF96" i="93"/>
  <c r="AF97" i="93"/>
  <c r="AH97" i="93"/>
  <c r="AF98" i="93"/>
  <c r="AH98" i="93"/>
  <c r="AF99" i="93"/>
  <c r="AF100" i="93"/>
  <c r="AF101" i="93"/>
  <c r="AH101" i="93"/>
  <c r="Z90" i="93"/>
  <c r="AF90" i="93"/>
  <c r="AH90" i="93"/>
  <c r="Z91" i="93"/>
  <c r="AF91" i="93"/>
  <c r="Z92" i="93"/>
  <c r="AF92" i="93"/>
  <c r="Z93" i="93"/>
  <c r="AF93" i="93"/>
  <c r="AH93" i="93"/>
  <c r="Z94" i="93"/>
  <c r="AF94" i="93"/>
  <c r="AH94" i="93"/>
  <c r="Z95" i="93"/>
  <c r="AF95" i="93"/>
  <c r="U82" i="93"/>
  <c r="W82" i="93"/>
  <c r="Z82" i="93"/>
  <c r="AF82" i="93"/>
  <c r="AH82" i="93"/>
  <c r="U83" i="93"/>
  <c r="W83" i="93"/>
  <c r="Z83" i="93"/>
  <c r="AF83" i="93"/>
  <c r="U84" i="93"/>
  <c r="W84" i="93"/>
  <c r="Z84" i="93"/>
  <c r="AF84" i="93"/>
  <c r="U85" i="93"/>
  <c r="W85" i="93"/>
  <c r="Z85" i="93"/>
  <c r="AF85" i="93"/>
  <c r="AH85" i="93"/>
  <c r="U86" i="93"/>
  <c r="W86" i="93"/>
  <c r="Z86" i="93"/>
  <c r="AF86" i="93"/>
  <c r="AH86" i="93"/>
  <c r="U87" i="93"/>
  <c r="W87" i="93"/>
  <c r="Z87" i="93"/>
  <c r="AF87" i="93"/>
  <c r="U88" i="93"/>
  <c r="W88" i="93"/>
  <c r="Z88" i="93"/>
  <c r="AF88" i="93"/>
  <c r="U89" i="93"/>
  <c r="W89" i="93"/>
  <c r="Z89" i="93"/>
  <c r="AF89" i="93"/>
  <c r="AH89" i="93"/>
  <c r="U90" i="93"/>
  <c r="U91" i="93"/>
  <c r="U92" i="93"/>
  <c r="U93" i="93"/>
  <c r="U94" i="93"/>
  <c r="U95" i="93"/>
  <c r="U96" i="93"/>
  <c r="U97" i="93"/>
  <c r="U98" i="93"/>
  <c r="U99" i="93"/>
  <c r="Q81" i="93"/>
  <c r="O81" i="93"/>
  <c r="L81" i="93"/>
  <c r="L85" i="93"/>
  <c r="E6" i="93"/>
  <c r="E7" i="93"/>
  <c r="D7" i="93"/>
  <c r="E8" i="93"/>
  <c r="E9" i="93"/>
  <c r="E10" i="93"/>
  <c r="E11" i="93"/>
  <c r="D11" i="93"/>
  <c r="E12" i="93"/>
  <c r="D12" i="93"/>
  <c r="E13" i="93"/>
  <c r="D13" i="93"/>
  <c r="E14" i="93"/>
  <c r="E15" i="93"/>
  <c r="D15" i="93"/>
  <c r="E16" i="93"/>
  <c r="D16" i="93"/>
  <c r="E17" i="93"/>
  <c r="D17" i="93"/>
  <c r="E18" i="93"/>
  <c r="D18" i="93"/>
  <c r="E19" i="93"/>
  <c r="D19" i="93"/>
  <c r="E20" i="93"/>
  <c r="D20" i="93"/>
  <c r="E22" i="93"/>
  <c r="E23" i="93"/>
  <c r="E24" i="93"/>
  <c r="E25" i="93"/>
  <c r="E26" i="93"/>
  <c r="O26" i="93"/>
  <c r="Q26" i="93"/>
  <c r="E27" i="93"/>
  <c r="D27" i="93"/>
  <c r="E28" i="93"/>
  <c r="D28" i="93"/>
  <c r="E29" i="93"/>
  <c r="D29" i="93"/>
  <c r="E30" i="93"/>
  <c r="D30" i="93"/>
  <c r="E31" i="93"/>
  <c r="D31" i="93"/>
  <c r="E32" i="93"/>
  <c r="D32" i="93"/>
  <c r="E33" i="93"/>
  <c r="D33" i="93"/>
  <c r="E34" i="93"/>
  <c r="E35" i="93"/>
  <c r="D35" i="93"/>
  <c r="E36" i="93"/>
  <c r="D36" i="93"/>
  <c r="E37" i="93"/>
  <c r="D37" i="93"/>
  <c r="E38" i="93"/>
  <c r="E39" i="93"/>
  <c r="E40" i="93"/>
  <c r="E41" i="93"/>
  <c r="D41" i="93"/>
  <c r="E42" i="93"/>
  <c r="E43" i="93"/>
  <c r="D43" i="93"/>
  <c r="E44" i="93"/>
  <c r="D44" i="93"/>
  <c r="E45" i="93"/>
  <c r="D45" i="93"/>
  <c r="E46" i="93"/>
  <c r="D46" i="93"/>
  <c r="E47" i="93"/>
  <c r="E48" i="93"/>
  <c r="D48" i="93"/>
  <c r="E49" i="93"/>
  <c r="E50" i="93"/>
  <c r="D50" i="93"/>
  <c r="E51" i="93"/>
  <c r="D51" i="93"/>
  <c r="E52" i="93"/>
  <c r="D52" i="93"/>
  <c r="E53" i="93"/>
  <c r="D53" i="93"/>
  <c r="E54" i="93"/>
  <c r="E55" i="93"/>
  <c r="E56" i="93"/>
  <c r="E57" i="93"/>
  <c r="E58" i="93"/>
  <c r="D58" i="93"/>
  <c r="E59" i="93"/>
  <c r="D59" i="93"/>
  <c r="E60" i="93"/>
  <c r="D60" i="93"/>
  <c r="E61" i="93"/>
  <c r="D61" i="93"/>
  <c r="E62" i="93"/>
  <c r="D62" i="93"/>
  <c r="E63" i="93"/>
  <c r="E64" i="93"/>
  <c r="D64" i="93"/>
  <c r="E65" i="93"/>
  <c r="D65" i="93"/>
  <c r="E66" i="93"/>
  <c r="E67" i="93"/>
  <c r="D67" i="93"/>
  <c r="E68" i="93"/>
  <c r="D68" i="93"/>
  <c r="E69" i="93"/>
  <c r="D69" i="93"/>
  <c r="E70" i="93"/>
  <c r="D70" i="93"/>
  <c r="E71" i="93"/>
  <c r="D71" i="93"/>
  <c r="E72" i="93"/>
  <c r="D72" i="93"/>
  <c r="E73" i="93"/>
  <c r="E74" i="93"/>
  <c r="D74" i="93"/>
  <c r="E75" i="93"/>
  <c r="D75" i="93"/>
  <c r="E76" i="93"/>
  <c r="D76" i="93"/>
  <c r="E77" i="93"/>
  <c r="D77" i="93"/>
  <c r="E78" i="93"/>
  <c r="E79" i="93"/>
  <c r="E80" i="93"/>
  <c r="D80" i="93"/>
  <c r="E81" i="93"/>
  <c r="E82" i="93"/>
  <c r="L82" i="93"/>
  <c r="E83" i="93"/>
  <c r="D83" i="93"/>
  <c r="E84" i="93"/>
  <c r="L84" i="93"/>
  <c r="E85" i="93"/>
  <c r="E86" i="93"/>
  <c r="L86" i="93"/>
  <c r="E87" i="93"/>
  <c r="E88" i="93"/>
  <c r="E89" i="93"/>
  <c r="E90" i="93"/>
  <c r="E91" i="93"/>
  <c r="AH91" i="93"/>
  <c r="E92" i="93"/>
  <c r="E93" i="93"/>
  <c r="E94" i="93"/>
  <c r="E95" i="93"/>
  <c r="AH95" i="93"/>
  <c r="E96" i="93"/>
  <c r="AH96" i="93"/>
  <c r="E97" i="93"/>
  <c r="E98" i="93"/>
  <c r="E99" i="93"/>
  <c r="AH99" i="93"/>
  <c r="E100" i="93"/>
  <c r="AH100" i="93"/>
  <c r="E101" i="93"/>
  <c r="E102" i="93"/>
  <c r="E103" i="93"/>
  <c r="E104" i="93"/>
  <c r="E105" i="93"/>
  <c r="D8" i="93"/>
  <c r="D9" i="93"/>
  <c r="D14" i="93"/>
  <c r="D22" i="93"/>
  <c r="D23" i="93"/>
  <c r="D24" i="93"/>
  <c r="D25" i="93"/>
  <c r="D26" i="93"/>
  <c r="D34" i="93"/>
  <c r="D42" i="93"/>
  <c r="D54" i="93"/>
  <c r="D55" i="93"/>
  <c r="D56" i="93"/>
  <c r="D57" i="93"/>
  <c r="D66" i="93"/>
  <c r="D73" i="93"/>
  <c r="D79" i="93"/>
  <c r="D81" i="93"/>
  <c r="D82" i="93"/>
  <c r="AH92" i="93"/>
  <c r="AH88" i="93"/>
  <c r="AH87" i="93"/>
  <c r="L87" i="93"/>
  <c r="L83" i="93"/>
  <c r="O80" i="93"/>
  <c r="AH84" i="93"/>
  <c r="AH83" i="93"/>
  <c r="D78" i="93"/>
  <c r="D63" i="93"/>
  <c r="D49" i="93"/>
  <c r="D47" i="93"/>
  <c r="D40" i="93"/>
  <c r="D39" i="93"/>
  <c r="D38" i="93"/>
  <c r="L26" i="93"/>
  <c r="D10" i="93"/>
  <c r="S26" i="93"/>
  <c r="U26" i="93"/>
  <c r="S81" i="93"/>
  <c r="U81" i="93"/>
  <c r="W81" i="93"/>
  <c r="Z81" i="93"/>
  <c r="AF81" i="93"/>
  <c r="AH81" i="93"/>
  <c r="N7" i="93"/>
  <c r="O7" i="93"/>
  <c r="Q7" i="93"/>
  <c r="N10" i="93"/>
  <c r="O10" i="93"/>
  <c r="Q10" i="93"/>
  <c r="N11" i="93"/>
  <c r="O11" i="93"/>
  <c r="Q11" i="93"/>
  <c r="N36" i="93"/>
  <c r="O36" i="93"/>
  <c r="Q36" i="93"/>
  <c r="N73" i="93"/>
  <c r="O73" i="93"/>
  <c r="Q73" i="93"/>
  <c r="N75" i="93"/>
  <c r="O75" i="93"/>
  <c r="Q75" i="93"/>
  <c r="AG81" i="93"/>
  <c r="N9" i="93"/>
  <c r="O9" i="93"/>
  <c r="Q9" i="93"/>
  <c r="N46" i="93"/>
  <c r="O46" i="93"/>
  <c r="Q46" i="93"/>
  <c r="N78" i="93"/>
  <c r="O78" i="93"/>
  <c r="Q78" i="93"/>
  <c r="E5" i="93"/>
  <c r="L5" i="93"/>
  <c r="N79" i="93"/>
  <c r="N77" i="93"/>
  <c r="O77" i="93"/>
  <c r="Q77" i="93"/>
  <c r="N76" i="93"/>
  <c r="O76" i="93"/>
  <c r="Q76" i="93"/>
  <c r="N72" i="93"/>
  <c r="O72" i="93"/>
  <c r="Q72" i="93"/>
  <c r="N71" i="93"/>
  <c r="O71" i="93"/>
  <c r="Q71" i="93"/>
  <c r="N70" i="93"/>
  <c r="O70" i="93"/>
  <c r="Q70" i="93"/>
  <c r="N69" i="93"/>
  <c r="O69" i="93"/>
  <c r="Q69" i="93"/>
  <c r="N68" i="93"/>
  <c r="O68" i="93"/>
  <c r="Q68" i="93"/>
  <c r="N67" i="93"/>
  <c r="O67" i="93"/>
  <c r="Q67" i="93"/>
  <c r="N66" i="93"/>
  <c r="O66" i="93"/>
  <c r="Q66" i="93"/>
  <c r="N65" i="93"/>
  <c r="O65" i="93"/>
  <c r="Q65" i="93"/>
  <c r="N64" i="93"/>
  <c r="O64" i="93"/>
  <c r="Q64" i="93"/>
  <c r="N63" i="93"/>
  <c r="O63" i="93"/>
  <c r="Q63" i="93"/>
  <c r="N61" i="93"/>
  <c r="O61" i="93"/>
  <c r="N60" i="93"/>
  <c r="O60" i="93"/>
  <c r="Q60" i="93"/>
  <c r="N58" i="93"/>
  <c r="O58" i="93"/>
  <c r="Q58" i="93"/>
  <c r="N57" i="93"/>
  <c r="O57" i="93"/>
  <c r="Q57" i="93"/>
  <c r="N55" i="93"/>
  <c r="O55" i="93"/>
  <c r="Q55" i="93"/>
  <c r="N53" i="93"/>
  <c r="O53" i="93"/>
  <c r="Q53" i="93"/>
  <c r="N56" i="93"/>
  <c r="O56" i="93"/>
  <c r="Q56" i="93"/>
  <c r="N54" i="93"/>
  <c r="O54" i="93"/>
  <c r="Q54" i="93"/>
  <c r="N52" i="93"/>
  <c r="O52" i="93"/>
  <c r="Q52" i="93"/>
  <c r="N51" i="93"/>
  <c r="O51" i="93"/>
  <c r="Q51" i="93"/>
  <c r="N50" i="93"/>
  <c r="O50" i="93"/>
  <c r="Q50" i="93"/>
  <c r="N49" i="93"/>
  <c r="O49" i="93"/>
  <c r="Q49" i="93"/>
  <c r="N47" i="93"/>
  <c r="O47" i="93"/>
  <c r="Q47" i="93"/>
  <c r="N45" i="93"/>
  <c r="O45" i="93"/>
  <c r="Q45" i="93"/>
  <c r="N44" i="93"/>
  <c r="O44" i="93"/>
  <c r="Q44" i="93"/>
  <c r="N43" i="93"/>
  <c r="O43" i="93"/>
  <c r="Q43" i="93"/>
  <c r="N41" i="93"/>
  <c r="O41" i="93"/>
  <c r="Q41" i="93"/>
  <c r="N40" i="93"/>
  <c r="O40" i="93"/>
  <c r="Q40" i="93"/>
  <c r="N38" i="93"/>
  <c r="O38" i="93"/>
  <c r="Q38" i="93"/>
  <c r="N37" i="93"/>
  <c r="O37" i="93"/>
  <c r="Q37" i="93"/>
  <c r="N35" i="93"/>
  <c r="O35" i="93"/>
  <c r="Q35" i="93"/>
  <c r="N32" i="93"/>
  <c r="O32" i="93"/>
  <c r="Q32" i="93"/>
  <c r="N31" i="93"/>
  <c r="O31" i="93"/>
  <c r="Q31" i="93"/>
  <c r="N30" i="93"/>
  <c r="O30" i="93"/>
  <c r="Q30" i="93"/>
  <c r="N29" i="93"/>
  <c r="O29" i="93"/>
  <c r="Q29" i="93"/>
  <c r="N28" i="93"/>
  <c r="O28" i="93"/>
  <c r="Q28" i="93"/>
  <c r="N27" i="93"/>
  <c r="O27" i="93"/>
  <c r="Q27" i="93"/>
  <c r="N23" i="93"/>
  <c r="O23" i="93"/>
  <c r="Q23" i="93"/>
  <c r="N20" i="93"/>
  <c r="O20" i="93"/>
  <c r="Q20" i="93"/>
  <c r="N18" i="93"/>
  <c r="O18" i="93"/>
  <c r="Q18" i="93"/>
  <c r="N17" i="93"/>
  <c r="O17" i="93"/>
  <c r="Q17" i="93"/>
  <c r="N16" i="93"/>
  <c r="O16" i="93"/>
  <c r="Q16" i="93"/>
  <c r="N15" i="93"/>
  <c r="O15" i="93"/>
  <c r="Q15" i="93"/>
  <c r="N13" i="93"/>
  <c r="O13" i="93"/>
  <c r="Q13" i="93"/>
  <c r="N12" i="93"/>
  <c r="O12" i="93"/>
  <c r="Q12" i="93"/>
  <c r="D6" i="93"/>
  <c r="N6" i="93"/>
  <c r="O6" i="93"/>
  <c r="Q6" i="93"/>
  <c r="N48" i="93"/>
  <c r="O48" i="93"/>
  <c r="Q48" i="93"/>
  <c r="N42" i="93"/>
  <c r="O42" i="93"/>
  <c r="Q42" i="93"/>
  <c r="N39" i="93"/>
  <c r="O39" i="93"/>
  <c r="Q39" i="93"/>
  <c r="N34" i="93"/>
  <c r="O34" i="93"/>
  <c r="Q34" i="93"/>
  <c r="N33" i="93"/>
  <c r="O33" i="93"/>
  <c r="Q33" i="93"/>
  <c r="N25" i="93"/>
  <c r="O25" i="93"/>
  <c r="Q25" i="93"/>
  <c r="N24" i="93"/>
  <c r="O24" i="93"/>
  <c r="Q24" i="93"/>
  <c r="N22" i="93"/>
  <c r="O22" i="93"/>
  <c r="Q22" i="93"/>
  <c r="N19" i="93"/>
  <c r="O19" i="93"/>
  <c r="Q19" i="93"/>
  <c r="N14" i="93"/>
  <c r="O14" i="93"/>
  <c r="Q14" i="93"/>
  <c r="N8" i="93"/>
  <c r="O8" i="93"/>
  <c r="Q8" i="93"/>
  <c r="D5" i="93"/>
  <c r="N5" i="93"/>
  <c r="O5" i="93"/>
  <c r="N59" i="93"/>
  <c r="O59" i="93"/>
  <c r="Q59" i="93"/>
  <c r="N62" i="93"/>
  <c r="O62" i="93"/>
  <c r="Q62" i="93"/>
  <c r="O142" i="91"/>
  <c r="P142" i="91" s="1"/>
  <c r="S142" i="91" s="1"/>
  <c r="M142" i="91"/>
  <c r="AE142" i="91" s="1"/>
  <c r="H143" i="91"/>
  <c r="H147" i="91"/>
  <c r="H148" i="91"/>
  <c r="H149" i="91"/>
  <c r="H150" i="91"/>
  <c r="H151" i="91"/>
  <c r="H152" i="91"/>
  <c r="H153" i="91"/>
  <c r="H154" i="91"/>
  <c r="H155" i="91"/>
  <c r="H156" i="91"/>
  <c r="H157" i="91"/>
  <c r="H158" i="91"/>
  <c r="P158" i="91" s="1"/>
  <c r="Q158" i="91" s="1"/>
  <c r="H159" i="91"/>
  <c r="H160" i="91"/>
  <c r="H161" i="91"/>
  <c r="H162" i="91"/>
  <c r="H164" i="91"/>
  <c r="O79" i="93"/>
  <c r="M148" i="91"/>
  <c r="M143" i="91"/>
  <c r="AE143" i="91" s="1"/>
  <c r="Q5" i="93"/>
  <c r="S5" i="93"/>
  <c r="U5" i="93"/>
  <c r="H77" i="91"/>
  <c r="O77" i="91"/>
  <c r="O149" i="91"/>
  <c r="H108" i="91"/>
  <c r="M108" i="91" s="1"/>
  <c r="AE108" i="91" s="1"/>
  <c r="O108" i="91"/>
  <c r="M107" i="91"/>
  <c r="AE107" i="91"/>
  <c r="H107" i="91"/>
  <c r="O107" i="91"/>
  <c r="H141" i="91"/>
  <c r="M141" i="91"/>
  <c r="AE141" i="91" s="1"/>
  <c r="O141" i="91"/>
  <c r="O143" i="91"/>
  <c r="O162" i="91"/>
  <c r="H195" i="91"/>
  <c r="O195" i="91"/>
  <c r="O163" i="91"/>
  <c r="P163" i="91"/>
  <c r="W163" i="91" s="1"/>
  <c r="H58" i="91"/>
  <c r="P58" i="91" s="1"/>
  <c r="O58" i="91"/>
  <c r="AB172" i="91"/>
  <c r="Y172" i="91"/>
  <c r="N172" i="91"/>
  <c r="Y79" i="91"/>
  <c r="N79" i="91"/>
  <c r="O49" i="91"/>
  <c r="P49" i="91" s="1"/>
  <c r="M189" i="91"/>
  <c r="H189" i="91"/>
  <c r="O189" i="91"/>
  <c r="M138" i="91"/>
  <c r="AE138" i="91" s="1"/>
  <c r="L196" i="91"/>
  <c r="O170" i="91"/>
  <c r="O168" i="91"/>
  <c r="M167" i="91"/>
  <c r="AE167" i="91" s="1"/>
  <c r="O160" i="91"/>
  <c r="O157" i="91"/>
  <c r="O156" i="91"/>
  <c r="O152" i="91"/>
  <c r="O148" i="91"/>
  <c r="M140" i="91"/>
  <c r="AE140" i="91" s="1"/>
  <c r="O56" i="91"/>
  <c r="O55" i="91"/>
  <c r="O53" i="91"/>
  <c r="O110" i="91"/>
  <c r="O106" i="91"/>
  <c r="M105" i="91"/>
  <c r="AE105" i="91"/>
  <c r="M78" i="91"/>
  <c r="O43" i="91"/>
  <c r="K196" i="91"/>
  <c r="J196" i="91"/>
  <c r="I196" i="91"/>
  <c r="G196" i="91"/>
  <c r="K172" i="91"/>
  <c r="J172" i="91"/>
  <c r="K79" i="91"/>
  <c r="J79" i="91"/>
  <c r="I79" i="91"/>
  <c r="G79" i="91"/>
  <c r="H170" i="91"/>
  <c r="P170" i="91" s="1"/>
  <c r="U170" i="91" s="1"/>
  <c r="H53" i="91"/>
  <c r="P53" i="91" s="1"/>
  <c r="Q53" i="91" s="1"/>
  <c r="H106" i="91"/>
  <c r="M106" i="91" s="1"/>
  <c r="AE106" i="91" s="1"/>
  <c r="M42" i="91"/>
  <c r="H104" i="91"/>
  <c r="O104" i="91"/>
  <c r="H105" i="91"/>
  <c r="P105" i="91" s="1"/>
  <c r="S105" i="91" s="1"/>
  <c r="H19" i="91"/>
  <c r="O19" i="91"/>
  <c r="O18" i="91"/>
  <c r="H18" i="91"/>
  <c r="H138" i="91"/>
  <c r="P138" i="91" s="1"/>
  <c r="S138" i="91" s="1"/>
  <c r="H56" i="91"/>
  <c r="H55" i="91"/>
  <c r="H47" i="91"/>
  <c r="H43" i="91"/>
  <c r="H15" i="91"/>
  <c r="O15" i="91"/>
  <c r="H14" i="91"/>
  <c r="O14" i="91"/>
  <c r="H13" i="91"/>
  <c r="O13" i="91"/>
  <c r="P13" i="91" s="1"/>
  <c r="H12" i="91"/>
  <c r="O12" i="91"/>
  <c r="H11" i="91"/>
  <c r="O11" i="91"/>
  <c r="H10" i="91"/>
  <c r="O10" i="91"/>
  <c r="H9" i="91"/>
  <c r="H187" i="91"/>
  <c r="H50" i="91"/>
  <c r="O50" i="91"/>
  <c r="O155" i="91"/>
  <c r="O166" i="91"/>
  <c r="O138" i="91"/>
  <c r="H54" i="91"/>
  <c r="H45" i="91"/>
  <c r="O45" i="91"/>
  <c r="H110" i="91"/>
  <c r="H193" i="91"/>
  <c r="H192" i="91"/>
  <c r="O192" i="91"/>
  <c r="P192" i="91" s="1"/>
  <c r="W192" i="91" s="1"/>
  <c r="H191" i="91"/>
  <c r="H190" i="91"/>
  <c r="O190" i="91"/>
  <c r="H168" i="91"/>
  <c r="P168" i="91" s="1"/>
  <c r="O169" i="91"/>
  <c r="H169" i="91"/>
  <c r="H167" i="91"/>
  <c r="H166" i="91"/>
  <c r="P166" i="91" s="1"/>
  <c r="S166" i="91" s="1"/>
  <c r="O147" i="91"/>
  <c r="P147" i="91" s="1"/>
  <c r="H140" i="91"/>
  <c r="H139" i="91"/>
  <c r="O139" i="91"/>
  <c r="P139" i="91" s="1"/>
  <c r="H137" i="91"/>
  <c r="O137" i="91"/>
  <c r="H52" i="91"/>
  <c r="O52" i="91"/>
  <c r="H44" i="91"/>
  <c r="O44" i="91"/>
  <c r="O38" i="91"/>
  <c r="O41" i="91"/>
  <c r="H76" i="91"/>
  <c r="H78" i="91"/>
  <c r="H109" i="91"/>
  <c r="H111" i="91"/>
  <c r="H41" i="91"/>
  <c r="H42" i="91"/>
  <c r="F55" i="2"/>
  <c r="F58" i="2"/>
  <c r="F59" i="2"/>
  <c r="F60" i="2"/>
  <c r="G50" i="2"/>
  <c r="F51" i="2"/>
  <c r="G51" i="2"/>
  <c r="F52" i="2"/>
  <c r="G52" i="2"/>
  <c r="F53" i="2"/>
  <c r="G53" i="2"/>
  <c r="F54" i="2"/>
  <c r="G54" i="2"/>
  <c r="G55" i="2"/>
  <c r="F56" i="2"/>
  <c r="G56" i="2"/>
  <c r="F57" i="2"/>
  <c r="G57" i="2"/>
  <c r="G58" i="2"/>
  <c r="G59" i="2"/>
  <c r="G60" i="2"/>
  <c r="B53" i="2"/>
  <c r="B51" i="2"/>
  <c r="B52" i="2"/>
  <c r="D52" i="2"/>
  <c r="C52" i="2"/>
  <c r="O42" i="91"/>
  <c r="O78" i="91"/>
  <c r="O39" i="91"/>
  <c r="H40" i="91"/>
  <c r="H39" i="91"/>
  <c r="H38" i="91"/>
  <c r="H8" i="91"/>
  <c r="D50" i="2"/>
  <c r="C51" i="2"/>
  <c r="D51" i="2"/>
  <c r="C53" i="2"/>
  <c r="D53" i="2"/>
  <c r="B54" i="2"/>
  <c r="C54" i="2"/>
  <c r="D54" i="2"/>
  <c r="B55" i="2"/>
  <c r="C55" i="2"/>
  <c r="D55" i="2"/>
  <c r="B56" i="2"/>
  <c r="C56" i="2"/>
  <c r="D56" i="2"/>
  <c r="B57" i="2"/>
  <c r="C57" i="2"/>
  <c r="D57" i="2"/>
  <c r="S11" i="96"/>
  <c r="Q10" i="96"/>
  <c r="R10" i="96"/>
  <c r="S12" i="96"/>
  <c r="Q14" i="96"/>
  <c r="R14" i="96"/>
  <c r="T14" i="96"/>
  <c r="V14" i="96"/>
  <c r="X14" i="96"/>
  <c r="Q18" i="96"/>
  <c r="R18" i="96"/>
  <c r="Q8" i="96"/>
  <c r="R8" i="96"/>
  <c r="Q17" i="96"/>
  <c r="R17" i="96"/>
  <c r="T17" i="96"/>
  <c r="V17" i="96"/>
  <c r="X17" i="96"/>
  <c r="U18" i="96"/>
  <c r="U11" i="96"/>
  <c r="U10" i="96"/>
  <c r="U14" i="96"/>
  <c r="S18" i="96"/>
  <c r="U17" i="96"/>
  <c r="Q11" i="96"/>
  <c r="R11" i="96"/>
  <c r="T11" i="96"/>
  <c r="V11" i="96"/>
  <c r="S10" i="96"/>
  <c r="U13" i="96"/>
  <c r="U12" i="96"/>
  <c r="S17" i="96"/>
  <c r="Q12" i="96"/>
  <c r="R12" i="96"/>
  <c r="T12" i="96"/>
  <c r="V12" i="96"/>
  <c r="S8" i="96"/>
  <c r="S14" i="96"/>
  <c r="U8" i="96"/>
  <c r="S13" i="96"/>
  <c r="S9" i="96"/>
  <c r="S19" i="96"/>
  <c r="U7" i="96"/>
  <c r="S7" i="96"/>
  <c r="Q9" i="96"/>
  <c r="R9" i="96"/>
  <c r="Q13" i="96"/>
  <c r="R13" i="96"/>
  <c r="T13" i="96"/>
  <c r="V13" i="96"/>
  <c r="X13" i="96"/>
  <c r="Q7" i="96"/>
  <c r="U9" i="96"/>
  <c r="P80" i="93"/>
  <c r="Q80" i="93"/>
  <c r="S80" i="93"/>
  <c r="U80" i="93"/>
  <c r="W80" i="93"/>
  <c r="P79" i="93"/>
  <c r="Q79" i="93"/>
  <c r="W10" i="96"/>
  <c r="W12" i="96"/>
  <c r="W8" i="96"/>
  <c r="W17" i="96"/>
  <c r="W13" i="96"/>
  <c r="W18" i="96"/>
  <c r="W11" i="96"/>
  <c r="W14" i="96"/>
  <c r="W7" i="96"/>
  <c r="W9" i="96"/>
  <c r="V26" i="93"/>
  <c r="W26" i="93"/>
  <c r="Z26" i="93"/>
  <c r="AF26" i="93"/>
  <c r="AH26" i="93"/>
  <c r="AG26" i="93"/>
  <c r="V73" i="93"/>
  <c r="O9" i="91"/>
  <c r="P9" i="91" s="1"/>
  <c r="E20" i="91"/>
  <c r="V36" i="93"/>
  <c r="V35" i="93"/>
  <c r="V32" i="93"/>
  <c r="V15" i="93"/>
  <c r="V6" i="93"/>
  <c r="V10" i="93"/>
  <c r="V11" i="93"/>
  <c r="V39" i="93"/>
  <c r="V27" i="93"/>
  <c r="V54" i="93"/>
  <c r="V57" i="93"/>
  <c r="V33" i="93"/>
  <c r="V41" i="93"/>
  <c r="V16" i="93"/>
  <c r="V46" i="93"/>
  <c r="V17" i="93"/>
  <c r="V49" i="93"/>
  <c r="V47" i="93"/>
  <c r="V20" i="93"/>
  <c r="V22" i="93"/>
  <c r="V48" i="93"/>
  <c r="V56" i="93"/>
  <c r="V40" i="93"/>
  <c r="V29" i="93"/>
  <c r="V23" i="93"/>
  <c r="V37" i="93"/>
  <c r="V28" i="93"/>
  <c r="V50" i="93"/>
  <c r="V42" i="93"/>
  <c r="V12" i="93"/>
  <c r="V55" i="93"/>
  <c r="V53" i="93"/>
  <c r="V31" i="93"/>
  <c r="V18" i="93"/>
  <c r="V7" i="93"/>
  <c r="V19" i="93"/>
  <c r="V9" i="93"/>
  <c r="V38" i="93"/>
  <c r="V44" i="93"/>
  <c r="V30" i="93"/>
  <c r="V14" i="93"/>
  <c r="V34" i="93"/>
  <c r="V5" i="93"/>
  <c r="W5" i="93"/>
  <c r="Z5" i="93"/>
  <c r="AF5" i="93"/>
  <c r="V43" i="93"/>
  <c r="V24" i="93"/>
  <c r="V45" i="93"/>
  <c r="V13" i="93"/>
  <c r="V51" i="93"/>
  <c r="V52" i="93"/>
  <c r="V25" i="93"/>
  <c r="V58" i="93"/>
  <c r="V8" i="93"/>
  <c r="V63" i="93"/>
  <c r="V78" i="93"/>
  <c r="V69" i="93"/>
  <c r="V72" i="93"/>
  <c r="V76" i="93"/>
  <c r="V68" i="93"/>
  <c r="V60" i="93"/>
  <c r="V61" i="93"/>
  <c r="V64" i="93"/>
  <c r="V75" i="93"/>
  <c r="V65" i="93"/>
  <c r="V79" i="93"/>
  <c r="V70" i="93"/>
  <c r="V71" i="93"/>
  <c r="V77" i="93"/>
  <c r="V62" i="93"/>
  <c r="V59" i="93"/>
  <c r="V67" i="93"/>
  <c r="V66" i="93"/>
  <c r="S11" i="93"/>
  <c r="U11" i="93"/>
  <c r="W11" i="93"/>
  <c r="Z11" i="93"/>
  <c r="AF11" i="93"/>
  <c r="AH11" i="93"/>
  <c r="S10" i="93"/>
  <c r="U10" i="93"/>
  <c r="W10" i="93"/>
  <c r="Z10" i="93"/>
  <c r="AF10" i="93"/>
  <c r="AH10" i="93"/>
  <c r="S28" i="93"/>
  <c r="U28" i="93"/>
  <c r="S20" i="93"/>
  <c r="U20" i="93"/>
  <c r="S25" i="93"/>
  <c r="U25" i="93"/>
  <c r="S7" i="93"/>
  <c r="U7" i="93"/>
  <c r="S37" i="93"/>
  <c r="U37" i="93"/>
  <c r="S45" i="93"/>
  <c r="U45" i="93"/>
  <c r="S14" i="93"/>
  <c r="U14" i="93"/>
  <c r="W14" i="93"/>
  <c r="Z14" i="93"/>
  <c r="AF14" i="93"/>
  <c r="AH14" i="93"/>
  <c r="S17" i="93"/>
  <c r="U17" i="93"/>
  <c r="S18" i="93"/>
  <c r="U18" i="93"/>
  <c r="W18" i="93"/>
  <c r="Z18" i="93"/>
  <c r="AF18" i="93"/>
  <c r="AH18" i="93"/>
  <c r="AG18" i="93"/>
  <c r="S22" i="93"/>
  <c r="U22" i="93"/>
  <c r="W22" i="93"/>
  <c r="Z22" i="93"/>
  <c r="AF22" i="93"/>
  <c r="AH22" i="93"/>
  <c r="AG22" i="93"/>
  <c r="S39" i="93"/>
  <c r="U39" i="93"/>
  <c r="S48" i="93"/>
  <c r="U48" i="93"/>
  <c r="S24" i="93"/>
  <c r="U24" i="93"/>
  <c r="S51" i="93"/>
  <c r="U51" i="93"/>
  <c r="S49" i="93"/>
  <c r="U49" i="93"/>
  <c r="S30" i="93"/>
  <c r="U30" i="93"/>
  <c r="S57" i="93"/>
  <c r="U57" i="93"/>
  <c r="W57" i="93"/>
  <c r="Z57" i="93"/>
  <c r="AF57" i="93"/>
  <c r="AH57" i="93"/>
  <c r="S31" i="93"/>
  <c r="U31" i="93"/>
  <c r="W31" i="93"/>
  <c r="Z31" i="93"/>
  <c r="AF31" i="93"/>
  <c r="AH31" i="93"/>
  <c r="AG31" i="93"/>
  <c r="S58" i="93"/>
  <c r="U58" i="93"/>
  <c r="S13" i="93"/>
  <c r="U13" i="93"/>
  <c r="W13" i="93"/>
  <c r="Z13" i="93"/>
  <c r="AF13" i="93"/>
  <c r="AH13" i="93"/>
  <c r="S54" i="93"/>
  <c r="U54" i="93"/>
  <c r="W54" i="93"/>
  <c r="Z54" i="93"/>
  <c r="AF54" i="93"/>
  <c r="AH54" i="93"/>
  <c r="S16" i="93"/>
  <c r="U16" i="93"/>
  <c r="S15" i="93"/>
  <c r="U15" i="93"/>
  <c r="S8" i="93"/>
  <c r="U8" i="93"/>
  <c r="U163" i="91"/>
  <c r="R79" i="93"/>
  <c r="R61" i="93"/>
  <c r="P61" i="93"/>
  <c r="Q61" i="93"/>
  <c r="S76" i="93"/>
  <c r="U76" i="93"/>
  <c r="T61" i="93"/>
  <c r="S73" i="93"/>
  <c r="U73" i="93"/>
  <c r="W73" i="93"/>
  <c r="Z73" i="93"/>
  <c r="AF73" i="93"/>
  <c r="AH73" i="93"/>
  <c r="T79" i="93"/>
  <c r="S67" i="93"/>
  <c r="U67" i="93"/>
  <c r="O109" i="91"/>
  <c r="P109" i="91" s="1"/>
  <c r="S109" i="91" s="1"/>
  <c r="M168" i="91"/>
  <c r="M109" i="91"/>
  <c r="O140" i="91"/>
  <c r="M170" i="91"/>
  <c r="O105" i="91"/>
  <c r="O154" i="91"/>
  <c r="P154" i="91"/>
  <c r="S154" i="91" s="1"/>
  <c r="M110" i="91"/>
  <c r="AE110" i="91" s="1"/>
  <c r="O47" i="91"/>
  <c r="O151" i="91"/>
  <c r="O161" i="91"/>
  <c r="M43" i="91"/>
  <c r="M191" i="91"/>
  <c r="M40" i="91"/>
  <c r="O191" i="91"/>
  <c r="O40" i="91"/>
  <c r="P104" i="91"/>
  <c r="S104" i="91" s="1"/>
  <c r="O48" i="91"/>
  <c r="P48" i="91" s="1"/>
  <c r="M54" i="91"/>
  <c r="AE54" i="91"/>
  <c r="O54" i="91"/>
  <c r="O150" i="91"/>
  <c r="O158" i="91"/>
  <c r="O76" i="91"/>
  <c r="O153" i="91"/>
  <c r="O164" i="91"/>
  <c r="O193" i="91"/>
  <c r="M193" i="91"/>
  <c r="O187" i="91"/>
  <c r="O8" i="91"/>
  <c r="M111" i="91"/>
  <c r="M53" i="91"/>
  <c r="AE53" i="91" s="1"/>
  <c r="O159" i="91"/>
  <c r="P159" i="91" s="1"/>
  <c r="O167" i="91"/>
  <c r="X12" i="96"/>
  <c r="W19" i="96"/>
  <c r="Z80" i="93"/>
  <c r="AF80" i="93"/>
  <c r="AH80" i="93"/>
  <c r="AG80" i="93"/>
  <c r="Y80" i="93"/>
  <c r="L80" i="93"/>
  <c r="U19" i="96"/>
  <c r="X11" i="96"/>
  <c r="T8" i="96"/>
  <c r="V8" i="96"/>
  <c r="X8" i="96"/>
  <c r="T10" i="96"/>
  <c r="V10" i="96"/>
  <c r="X10" i="96"/>
  <c r="W8" i="93"/>
  <c r="Z8" i="93"/>
  <c r="AF8" i="93"/>
  <c r="AH8" i="93"/>
  <c r="T9" i="96"/>
  <c r="V9" i="96"/>
  <c r="X9" i="96"/>
  <c r="W37" i="93"/>
  <c r="Z37" i="93"/>
  <c r="AF37" i="93"/>
  <c r="AH37" i="93"/>
  <c r="AG37" i="93"/>
  <c r="R7" i="96"/>
  <c r="Q19" i="96"/>
  <c r="T18" i="96"/>
  <c r="V18" i="96"/>
  <c r="X18" i="96"/>
  <c r="AE109" i="91"/>
  <c r="W49" i="93"/>
  <c r="Z49" i="93"/>
  <c r="AF49" i="93"/>
  <c r="AH49" i="93"/>
  <c r="W28" i="93"/>
  <c r="Z28" i="93"/>
  <c r="AF28" i="93"/>
  <c r="AH28" i="93"/>
  <c r="AG28" i="93"/>
  <c r="W20" i="93"/>
  <c r="Z20" i="93"/>
  <c r="AF20" i="93"/>
  <c r="W76" i="93"/>
  <c r="Z76" i="93"/>
  <c r="AF76" i="93"/>
  <c r="AH76" i="93"/>
  <c r="AG76" i="93"/>
  <c r="W67" i="93"/>
  <c r="Z67" i="93"/>
  <c r="AF67" i="93"/>
  <c r="AH67" i="93"/>
  <c r="W58" i="93"/>
  <c r="Z58" i="93"/>
  <c r="AF58" i="93"/>
  <c r="AH58" i="93"/>
  <c r="W51" i="93"/>
  <c r="Z51" i="93"/>
  <c r="AF51" i="93"/>
  <c r="AH51" i="93"/>
  <c r="AG51" i="93"/>
  <c r="W48" i="93"/>
  <c r="Z48" i="93"/>
  <c r="AF48" i="93"/>
  <c r="AH48" i="93"/>
  <c r="W45" i="93"/>
  <c r="Z45" i="93"/>
  <c r="AF45" i="93"/>
  <c r="AH45" i="93"/>
  <c r="W39" i="93"/>
  <c r="Z39" i="93"/>
  <c r="AF39" i="93"/>
  <c r="AH39" i="93"/>
  <c r="W30" i="93"/>
  <c r="Z30" i="93"/>
  <c r="AF30" i="93"/>
  <c r="AH30" i="93"/>
  <c r="AG30" i="93"/>
  <c r="W25" i="93"/>
  <c r="Z25" i="93"/>
  <c r="AF25" i="93"/>
  <c r="AH25" i="93"/>
  <c r="AG25" i="93"/>
  <c r="W24" i="93"/>
  <c r="Z24" i="93"/>
  <c r="AF24" i="93"/>
  <c r="AH24" i="93"/>
  <c r="AG24" i="93"/>
  <c r="W17" i="93"/>
  <c r="Z17" i="93"/>
  <c r="AF17" i="93"/>
  <c r="AH17" i="93"/>
  <c r="W16" i="93"/>
  <c r="Z16" i="93"/>
  <c r="AF16" i="93"/>
  <c r="AH16" i="93"/>
  <c r="W15" i="93"/>
  <c r="Z15" i="93"/>
  <c r="AF15" i="93"/>
  <c r="AH15" i="93"/>
  <c r="W7" i="93"/>
  <c r="Z7" i="93"/>
  <c r="AF7" i="93"/>
  <c r="AH7" i="93"/>
  <c r="AH5" i="93"/>
  <c r="AG5" i="93"/>
  <c r="AL5" i="93"/>
  <c r="S72" i="93"/>
  <c r="U72" i="93"/>
  <c r="W72" i="93"/>
  <c r="Z72" i="93"/>
  <c r="AF72" i="93"/>
  <c r="AH72" i="93"/>
  <c r="S70" i="93"/>
  <c r="S59" i="93"/>
  <c r="S50" i="93"/>
  <c r="S27" i="93"/>
  <c r="U27" i="93"/>
  <c r="W27" i="93"/>
  <c r="Z27" i="93"/>
  <c r="AF27" i="93"/>
  <c r="AH27" i="93"/>
  <c r="AG27" i="93"/>
  <c r="S29" i="93"/>
  <c r="U29" i="93"/>
  <c r="W29" i="93"/>
  <c r="Z29" i="93"/>
  <c r="AF29" i="93"/>
  <c r="AH29" i="93"/>
  <c r="AG29" i="93"/>
  <c r="S23" i="93"/>
  <c r="S9" i="93"/>
  <c r="S12" i="93"/>
  <c r="U12" i="93"/>
  <c r="W12" i="93"/>
  <c r="Z12" i="93"/>
  <c r="AF12" i="93"/>
  <c r="AH12" i="93"/>
  <c r="AG39" i="93"/>
  <c r="Y24" i="93"/>
  <c r="L24" i="93"/>
  <c r="Y45" i="93"/>
  <c r="L45" i="93"/>
  <c r="Y67" i="93"/>
  <c r="L67" i="93"/>
  <c r="AG58" i="93"/>
  <c r="S6" i="93"/>
  <c r="S40" i="93"/>
  <c r="S35" i="93"/>
  <c r="U35" i="93"/>
  <c r="W35" i="93"/>
  <c r="Z35" i="93"/>
  <c r="AF35" i="93"/>
  <c r="AH35" i="93"/>
  <c r="AG35" i="93"/>
  <c r="Y14" i="93"/>
  <c r="L14" i="93"/>
  <c r="S46" i="93"/>
  <c r="U46" i="93"/>
  <c r="W46" i="93"/>
  <c r="Z46" i="93"/>
  <c r="AF46" i="93"/>
  <c r="AH46" i="93"/>
  <c r="S32" i="93"/>
  <c r="U32" i="93"/>
  <c r="W32" i="93"/>
  <c r="Z32" i="93"/>
  <c r="AF32" i="93"/>
  <c r="AH32" i="93"/>
  <c r="AG32" i="93"/>
  <c r="S63" i="93"/>
  <c r="S53" i="93"/>
  <c r="U53" i="93"/>
  <c r="W53" i="93"/>
  <c r="Z53" i="93"/>
  <c r="AF53" i="93"/>
  <c r="AH53" i="93"/>
  <c r="S55" i="93"/>
  <c r="U55" i="93"/>
  <c r="W55" i="93"/>
  <c r="Z55" i="93"/>
  <c r="AF55" i="93"/>
  <c r="AH55" i="93"/>
  <c r="S44" i="93"/>
  <c r="U44" i="93"/>
  <c r="W44" i="93"/>
  <c r="Z44" i="93"/>
  <c r="AF44" i="93"/>
  <c r="AH44" i="93"/>
  <c r="S33" i="93"/>
  <c r="U33" i="93"/>
  <c r="W33" i="93"/>
  <c r="Z33" i="93"/>
  <c r="AF33" i="93"/>
  <c r="AH33" i="93"/>
  <c r="AG33" i="93"/>
  <c r="S19" i="93"/>
  <c r="U19" i="93"/>
  <c r="W19" i="93"/>
  <c r="Z19" i="93"/>
  <c r="AF19" i="93"/>
  <c r="S64" i="93"/>
  <c r="M58" i="91"/>
  <c r="AE58" i="91" s="1"/>
  <c r="S47" i="93"/>
  <c r="U47" i="93"/>
  <c r="W47" i="93"/>
  <c r="Z47" i="93"/>
  <c r="AF47" i="93"/>
  <c r="AH47" i="93"/>
  <c r="S52" i="93"/>
  <c r="U52" i="93"/>
  <c r="W52" i="93"/>
  <c r="Z52" i="93"/>
  <c r="AF52" i="93"/>
  <c r="AH52" i="93"/>
  <c r="S56" i="93"/>
  <c r="U56" i="93"/>
  <c r="W56" i="93"/>
  <c r="Z56" i="93"/>
  <c r="AF56" i="93"/>
  <c r="AH56" i="93"/>
  <c r="S43" i="93"/>
  <c r="U43" i="93"/>
  <c r="W43" i="93"/>
  <c r="Z43" i="93"/>
  <c r="AF43" i="93"/>
  <c r="AH43" i="93"/>
  <c r="S41" i="93"/>
  <c r="U41" i="93"/>
  <c r="W41" i="93"/>
  <c r="Z41" i="93"/>
  <c r="AF41" i="93"/>
  <c r="AH41" i="93"/>
  <c r="S36" i="93"/>
  <c r="U36" i="93"/>
  <c r="W36" i="93"/>
  <c r="Z36" i="93"/>
  <c r="AF36" i="93"/>
  <c r="AH36" i="93"/>
  <c r="AG36" i="93"/>
  <c r="S62" i="93"/>
  <c r="U62" i="93"/>
  <c r="W62" i="93"/>
  <c r="Z62" i="93"/>
  <c r="AF62" i="93"/>
  <c r="AH62" i="93"/>
  <c r="S38" i="93"/>
  <c r="U38" i="93"/>
  <c r="W38" i="93"/>
  <c r="Z38" i="93"/>
  <c r="AF38" i="93"/>
  <c r="S34" i="93"/>
  <c r="U34" i="93"/>
  <c r="W34" i="93"/>
  <c r="Z34" i="93"/>
  <c r="AF34" i="93"/>
  <c r="AH34" i="93"/>
  <c r="AG34" i="93"/>
  <c r="S42" i="93"/>
  <c r="U42" i="93"/>
  <c r="W42" i="93"/>
  <c r="Z42" i="93"/>
  <c r="AF42" i="93"/>
  <c r="AH42" i="93"/>
  <c r="AG73" i="93"/>
  <c r="S71" i="93"/>
  <c r="S79" i="93"/>
  <c r="U79" i="93"/>
  <c r="W79" i="93"/>
  <c r="Z79" i="93"/>
  <c r="AF79" i="93"/>
  <c r="AH79" i="93"/>
  <c r="S75" i="93"/>
  <c r="U75" i="93"/>
  <c r="W75" i="93"/>
  <c r="Z75" i="93"/>
  <c r="AF75" i="93"/>
  <c r="AH75" i="93"/>
  <c r="S60" i="93"/>
  <c r="S61" i="93"/>
  <c r="S78" i="93"/>
  <c r="U78" i="93"/>
  <c r="W78" i="93"/>
  <c r="Z78" i="93"/>
  <c r="AF78" i="93"/>
  <c r="AH78" i="93"/>
  <c r="S65" i="93"/>
  <c r="U65" i="93"/>
  <c r="W65" i="93"/>
  <c r="Z65" i="93"/>
  <c r="AF65" i="93"/>
  <c r="AH65" i="93"/>
  <c r="S77" i="93"/>
  <c r="U77" i="93"/>
  <c r="W77" i="93"/>
  <c r="Z77" i="93"/>
  <c r="AF77" i="93"/>
  <c r="AH77" i="93"/>
  <c r="S68" i="93"/>
  <c r="U68" i="93"/>
  <c r="W68" i="93"/>
  <c r="Z68" i="93"/>
  <c r="AF68" i="93"/>
  <c r="AH68" i="93"/>
  <c r="S69" i="93"/>
  <c r="U69" i="93"/>
  <c r="W69" i="93"/>
  <c r="Z69" i="93"/>
  <c r="AF69" i="93"/>
  <c r="AH69" i="93"/>
  <c r="S66" i="93"/>
  <c r="U66" i="93"/>
  <c r="W66" i="93"/>
  <c r="Z66" i="93"/>
  <c r="AF66" i="93"/>
  <c r="AH66" i="93"/>
  <c r="T7" i="96"/>
  <c r="R19" i="96"/>
  <c r="AH38" i="93"/>
  <c r="AG38" i="93"/>
  <c r="AO38" i="93"/>
  <c r="U23" i="93"/>
  <c r="W23" i="93"/>
  <c r="Z23" i="93"/>
  <c r="AF23" i="93"/>
  <c r="AH23" i="93"/>
  <c r="AG23" i="93"/>
  <c r="Y6" i="93"/>
  <c r="L6" i="93"/>
  <c r="U6" i="93"/>
  <c r="W6" i="93"/>
  <c r="Z6" i="93"/>
  <c r="AF6" i="93"/>
  <c r="AH6" i="93"/>
  <c r="U61" i="93"/>
  <c r="W61" i="93"/>
  <c r="Z61" i="93"/>
  <c r="AF61" i="93"/>
  <c r="AH61" i="93"/>
  <c r="AG61" i="93"/>
  <c r="Y28" i="93"/>
  <c r="L28" i="93"/>
  <c r="Y25" i="93"/>
  <c r="L25" i="93"/>
  <c r="AH20" i="93"/>
  <c r="AG20" i="93"/>
  <c r="AN20" i="93"/>
  <c r="AH19" i="93"/>
  <c r="AG19" i="93"/>
  <c r="AL19" i="93"/>
  <c r="U71" i="93"/>
  <c r="W71" i="93"/>
  <c r="Z71" i="93"/>
  <c r="AF71" i="93"/>
  <c r="U70" i="93"/>
  <c r="W70" i="93"/>
  <c r="Z70" i="93"/>
  <c r="AF70" i="93"/>
  <c r="AH70" i="93"/>
  <c r="AG70" i="93"/>
  <c r="U64" i="93"/>
  <c r="W64" i="93"/>
  <c r="Z64" i="93"/>
  <c r="AF64" i="93"/>
  <c r="AH64" i="93"/>
  <c r="AG64" i="93"/>
  <c r="U63" i="93"/>
  <c r="W63" i="93"/>
  <c r="Z63" i="93"/>
  <c r="AF63" i="93"/>
  <c r="AH63" i="93"/>
  <c r="AG63" i="93"/>
  <c r="U60" i="93"/>
  <c r="W60" i="93"/>
  <c r="Z60" i="93"/>
  <c r="AF60" i="93"/>
  <c r="AH60" i="93"/>
  <c r="AG60" i="93"/>
  <c r="U59" i="93"/>
  <c r="W59" i="93"/>
  <c r="Z59" i="93"/>
  <c r="AF59" i="93"/>
  <c r="AH59" i="93"/>
  <c r="AG59" i="93"/>
  <c r="U50" i="93"/>
  <c r="W50" i="93"/>
  <c r="Z50" i="93"/>
  <c r="AF50" i="93"/>
  <c r="AH50" i="93"/>
  <c r="AG50" i="93"/>
  <c r="U40" i="93"/>
  <c r="W40" i="93"/>
  <c r="Z40" i="93"/>
  <c r="AF40" i="93"/>
  <c r="AH40" i="93"/>
  <c r="AG40" i="93"/>
  <c r="U9" i="93"/>
  <c r="W9" i="93"/>
  <c r="Z9" i="93"/>
  <c r="AF9" i="93"/>
  <c r="AH9" i="93"/>
  <c r="AG17" i="93"/>
  <c r="Y70" i="93"/>
  <c r="L70" i="93"/>
  <c r="Y51" i="93"/>
  <c r="L51" i="93"/>
  <c r="Y39" i="93"/>
  <c r="L39" i="93"/>
  <c r="Y17" i="93"/>
  <c r="L17" i="93"/>
  <c r="AG10" i="93"/>
  <c r="AL10" i="93"/>
  <c r="Y12" i="93"/>
  <c r="L12" i="93"/>
  <c r="AG67" i="93"/>
  <c r="Y37" i="93"/>
  <c r="L37" i="93"/>
  <c r="AG45" i="93"/>
  <c r="Y22" i="93"/>
  <c r="L22" i="93"/>
  <c r="Y10" i="93"/>
  <c r="L10" i="93"/>
  <c r="Y76" i="93"/>
  <c r="L76" i="93"/>
  <c r="Y58" i="93"/>
  <c r="L58" i="93"/>
  <c r="Y27" i="93"/>
  <c r="L27" i="93"/>
  <c r="Y59" i="93"/>
  <c r="L59" i="93"/>
  <c r="Y32" i="93"/>
  <c r="L32" i="93"/>
  <c r="Y61" i="93"/>
  <c r="L61" i="93"/>
  <c r="Y71" i="93"/>
  <c r="L71" i="93"/>
  <c r="Y19" i="93"/>
  <c r="L19" i="93"/>
  <c r="Y20" i="93"/>
  <c r="L20" i="93"/>
  <c r="Y38" i="93"/>
  <c r="L38" i="93"/>
  <c r="Y29" i="93"/>
  <c r="L29" i="93"/>
  <c r="Y7" i="93"/>
  <c r="L7" i="93"/>
  <c r="AG44" i="93"/>
  <c r="Y44" i="93"/>
  <c r="L44" i="93"/>
  <c r="Y53" i="93"/>
  <c r="L53" i="93"/>
  <c r="AG53" i="93"/>
  <c r="Y30" i="93"/>
  <c r="L30" i="93"/>
  <c r="AG52" i="93"/>
  <c r="Y52" i="93"/>
  <c r="L52" i="93"/>
  <c r="Y57" i="93"/>
  <c r="L57" i="93"/>
  <c r="AG57" i="93"/>
  <c r="Y55" i="93"/>
  <c r="L55" i="93"/>
  <c r="AG55" i="93"/>
  <c r="Y13" i="93"/>
  <c r="L13" i="93"/>
  <c r="Y11" i="93"/>
  <c r="L11" i="93"/>
  <c r="Y49" i="93"/>
  <c r="L49" i="93"/>
  <c r="AG49" i="93"/>
  <c r="AG41" i="93"/>
  <c r="Y41" i="93"/>
  <c r="L41" i="93"/>
  <c r="Y15" i="93"/>
  <c r="L15" i="93"/>
  <c r="Y46" i="93"/>
  <c r="L46" i="93"/>
  <c r="AG48" i="93"/>
  <c r="Y48" i="93"/>
  <c r="L48" i="93"/>
  <c r="Y56" i="93"/>
  <c r="L56" i="93"/>
  <c r="AG56" i="93"/>
  <c r="Y16" i="93"/>
  <c r="L16" i="93"/>
  <c r="Y36" i="93"/>
  <c r="L36" i="93"/>
  <c r="Y54" i="93"/>
  <c r="L54" i="93"/>
  <c r="AG54" i="93"/>
  <c r="Y8" i="93"/>
  <c r="L8" i="93"/>
  <c r="Y73" i="93"/>
  <c r="L73" i="93"/>
  <c r="Y42" i="93"/>
  <c r="L42" i="93"/>
  <c r="AG43" i="93"/>
  <c r="Y43" i="93"/>
  <c r="L43" i="93"/>
  <c r="Y33" i="93"/>
  <c r="L33" i="93"/>
  <c r="AG47" i="93"/>
  <c r="Y47" i="93"/>
  <c r="L47" i="93"/>
  <c r="Y31" i="93"/>
  <c r="L31" i="93"/>
  <c r="Y35" i="93"/>
  <c r="L35" i="93"/>
  <c r="Y34" i="93"/>
  <c r="L34" i="93"/>
  <c r="Y18" i="93"/>
  <c r="L18" i="93"/>
  <c r="AG62" i="93"/>
  <c r="Y62" i="93"/>
  <c r="L62" i="93"/>
  <c r="AG68" i="93"/>
  <c r="Y68" i="93"/>
  <c r="L68" i="93"/>
  <c r="AG75" i="93"/>
  <c r="Y75" i="93"/>
  <c r="L75" i="93"/>
  <c r="AG65" i="93"/>
  <c r="Y65" i="93"/>
  <c r="L65" i="93"/>
  <c r="AG72" i="93"/>
  <c r="Y72" i="93"/>
  <c r="L72" i="93"/>
  <c r="AG79" i="93"/>
  <c r="Y79" i="93"/>
  <c r="L79" i="93"/>
  <c r="AG66" i="93"/>
  <c r="Y66" i="93"/>
  <c r="L66" i="93"/>
  <c r="AG69" i="93"/>
  <c r="Y69" i="93"/>
  <c r="L69" i="93"/>
  <c r="Y77" i="93"/>
  <c r="L77" i="93"/>
  <c r="AG77" i="93"/>
  <c r="AG78" i="93"/>
  <c r="Y78" i="93"/>
  <c r="L78" i="93"/>
  <c r="M12" i="91"/>
  <c r="AE12" i="91" s="1"/>
  <c r="M9" i="91"/>
  <c r="AE9" i="91" s="1"/>
  <c r="M19" i="91"/>
  <c r="M56" i="91"/>
  <c r="AE56" i="91" s="1"/>
  <c r="M10" i="91"/>
  <c r="AE10" i="91" s="1"/>
  <c r="M13" i="91"/>
  <c r="AE13" i="91" s="1"/>
  <c r="M55" i="91"/>
  <c r="AE55" i="91" s="1"/>
  <c r="M14" i="91"/>
  <c r="AE14" i="91"/>
  <c r="M11" i="91"/>
  <c r="AE11" i="91" s="1"/>
  <c r="M15" i="91"/>
  <c r="AE15" i="91" s="1"/>
  <c r="AH71" i="93"/>
  <c r="AG71" i="93"/>
  <c r="AN71" i="93"/>
  <c r="V7" i="96"/>
  <c r="T19" i="96"/>
  <c r="Y23" i="93"/>
  <c r="L23" i="93"/>
  <c r="Y64" i="93"/>
  <c r="L64" i="93"/>
  <c r="Y63" i="93"/>
  <c r="L63" i="93"/>
  <c r="Y60" i="93"/>
  <c r="L60" i="93"/>
  <c r="Y50" i="93"/>
  <c r="L50" i="93"/>
  <c r="Y40" i="93"/>
  <c r="L40" i="93"/>
  <c r="Y9" i="93"/>
  <c r="L9" i="93"/>
  <c r="AG6" i="93"/>
  <c r="AL6" i="93"/>
  <c r="AG7" i="93"/>
  <c r="AL7" i="93"/>
  <c r="AG16" i="93"/>
  <c r="AL16" i="93"/>
  <c r="AG15" i="93"/>
  <c r="AL15" i="93"/>
  <c r="AG8" i="93"/>
  <c r="AL8" i="93"/>
  <c r="AG9" i="93"/>
  <c r="AL9" i="93"/>
  <c r="AG11" i="93"/>
  <c r="AL11" i="93"/>
  <c r="AG14" i="93"/>
  <c r="AL14" i="93"/>
  <c r="AG13" i="93"/>
  <c r="AL13" i="93"/>
  <c r="AG12" i="93"/>
  <c r="AL12" i="93"/>
  <c r="M45" i="91"/>
  <c r="AE45" i="91" s="1"/>
  <c r="V19" i="96"/>
  <c r="X7" i="96"/>
  <c r="X19" i="96"/>
  <c r="M39" i="91"/>
  <c r="M8" i="91"/>
  <c r="AE8" i="91"/>
  <c r="N74" i="93"/>
  <c r="O74" i="93"/>
  <c r="Q74" i="93"/>
  <c r="S74" i="93"/>
  <c r="U74" i="93"/>
  <c r="V74" i="93"/>
  <c r="W74" i="93"/>
  <c r="Z74" i="93"/>
  <c r="AF74" i="93"/>
  <c r="AH74" i="93"/>
  <c r="AG74" i="93"/>
  <c r="Y74" i="93"/>
  <c r="L74" i="93"/>
  <c r="X74" i="93"/>
  <c r="D21" i="93"/>
  <c r="N21" i="93"/>
  <c r="O21" i="93"/>
  <c r="Q21" i="93"/>
  <c r="S21" i="93"/>
  <c r="U21" i="93"/>
  <c r="V21" i="93"/>
  <c r="W21" i="93"/>
  <c r="Y21" i="93"/>
  <c r="L21" i="93"/>
  <c r="Z21" i="93"/>
  <c r="AF21" i="93"/>
  <c r="O46" i="91"/>
  <c r="AH21" i="93"/>
  <c r="AG21" i="93"/>
  <c r="AK21" i="93"/>
  <c r="P46" i="91"/>
  <c r="W46" i="91"/>
  <c r="AI21" i="93"/>
  <c r="AJ21" i="93"/>
  <c r="P54" i="91" l="1"/>
  <c r="P152" i="91"/>
  <c r="Q152" i="91" s="1"/>
  <c r="R152" i="91" s="1"/>
  <c r="AE19" i="91"/>
  <c r="P55" i="91"/>
  <c r="Q55" i="91" s="1"/>
  <c r="P162" i="91"/>
  <c r="P67" i="91"/>
  <c r="P63" i="91"/>
  <c r="S63" i="91" s="1"/>
  <c r="J201" i="91"/>
  <c r="P8" i="91"/>
  <c r="P11" i="91"/>
  <c r="U11" i="91" s="1"/>
  <c r="AE78" i="91"/>
  <c r="P195" i="91"/>
  <c r="S195" i="91" s="1"/>
  <c r="P141" i="91"/>
  <c r="P161" i="91"/>
  <c r="S161" i="91" s="1"/>
  <c r="P153" i="91"/>
  <c r="Q153" i="91" s="1"/>
  <c r="P69" i="91"/>
  <c r="U69" i="91" s="1"/>
  <c r="G200" i="91"/>
  <c r="W8" i="91"/>
  <c r="U8" i="91"/>
  <c r="P143" i="91"/>
  <c r="U143" i="91" s="1"/>
  <c r="AB201" i="91"/>
  <c r="Q192" i="91"/>
  <c r="P75" i="91"/>
  <c r="Q75" i="91" s="1"/>
  <c r="R75" i="91" s="1"/>
  <c r="P74" i="91"/>
  <c r="W74" i="91" s="1"/>
  <c r="P73" i="91"/>
  <c r="Q73" i="91" s="1"/>
  <c r="R73" i="91" s="1"/>
  <c r="L201" i="91"/>
  <c r="P106" i="91"/>
  <c r="Q106" i="91" s="1"/>
  <c r="R106" i="91" s="1"/>
  <c r="P56" i="91"/>
  <c r="W56" i="91" s="1"/>
  <c r="AE148" i="91"/>
  <c r="G202" i="91"/>
  <c r="P41" i="91"/>
  <c r="Q41" i="91" s="1"/>
  <c r="R41" i="91" s="1"/>
  <c r="P18" i="91"/>
  <c r="S18" i="91" s="1"/>
  <c r="P110" i="91"/>
  <c r="W110" i="91" s="1"/>
  <c r="P189" i="91"/>
  <c r="P164" i="91"/>
  <c r="Q164" i="91" s="1"/>
  <c r="P155" i="91"/>
  <c r="Q155" i="91" s="1"/>
  <c r="R155" i="91" s="1"/>
  <c r="P151" i="91"/>
  <c r="Q151" i="91" s="1"/>
  <c r="AE77" i="91"/>
  <c r="AE156" i="91"/>
  <c r="AE69" i="91"/>
  <c r="P68" i="91"/>
  <c r="W168" i="91"/>
  <c r="Q168" i="91"/>
  <c r="R168" i="91" s="1"/>
  <c r="S54" i="91"/>
  <c r="W54" i="91"/>
  <c r="W67" i="91"/>
  <c r="S67" i="91"/>
  <c r="W159" i="91"/>
  <c r="U159" i="91"/>
  <c r="Q159" i="91"/>
  <c r="W162" i="91"/>
  <c r="Q162" i="91"/>
  <c r="R162" i="91" s="1"/>
  <c r="W70" i="91"/>
  <c r="S70" i="91"/>
  <c r="I201" i="91"/>
  <c r="I200" i="91"/>
  <c r="P47" i="91"/>
  <c r="S47" i="91" s="1"/>
  <c r="J200" i="91"/>
  <c r="J202" i="91"/>
  <c r="Q189" i="91"/>
  <c r="R189" i="91" s="1"/>
  <c r="S189" i="91"/>
  <c r="T189" i="91" s="1"/>
  <c r="Q58" i="91"/>
  <c r="R58" i="91" s="1"/>
  <c r="U58" i="91"/>
  <c r="U63" i="91"/>
  <c r="W63" i="91"/>
  <c r="Q8" i="91"/>
  <c r="R8" i="91" s="1"/>
  <c r="U166" i="91"/>
  <c r="I202" i="91"/>
  <c r="W189" i="91"/>
  <c r="W142" i="91"/>
  <c r="S139" i="91"/>
  <c r="Q139" i="91"/>
  <c r="R139" i="91" s="1"/>
  <c r="G201" i="91"/>
  <c r="W164" i="91"/>
  <c r="W151" i="91"/>
  <c r="AE42" i="91"/>
  <c r="AE67" i="91"/>
  <c r="P66" i="91"/>
  <c r="P65" i="91"/>
  <c r="W65" i="91" s="1"/>
  <c r="P64" i="91"/>
  <c r="AC201" i="91"/>
  <c r="Z201" i="91"/>
  <c r="S8" i="91"/>
  <c r="T8" i="91" s="1"/>
  <c r="U53" i="91"/>
  <c r="U192" i="91"/>
  <c r="N111" i="91"/>
  <c r="N112" i="91" s="1"/>
  <c r="N201" i="91" s="1"/>
  <c r="AE111" i="91"/>
  <c r="AE112" i="91" s="1"/>
  <c r="P76" i="91"/>
  <c r="S76" i="91" s="1"/>
  <c r="U189" i="91"/>
  <c r="Q163" i="91"/>
  <c r="R163" i="91" s="1"/>
  <c r="W58" i="91"/>
  <c r="Q70" i="91"/>
  <c r="R70" i="91" s="1"/>
  <c r="T70" i="91" s="1"/>
  <c r="V70" i="91" s="1"/>
  <c r="P45" i="91"/>
  <c r="Q45" i="91" s="1"/>
  <c r="P15" i="91"/>
  <c r="S15" i="91" s="1"/>
  <c r="H112" i="91"/>
  <c r="P191" i="91"/>
  <c r="S191" i="91" s="1"/>
  <c r="P157" i="91"/>
  <c r="AE189" i="91"/>
  <c r="AE195" i="91"/>
  <c r="P167" i="91"/>
  <c r="Q167" i="91" s="1"/>
  <c r="P150" i="91"/>
  <c r="W150" i="91" s="1"/>
  <c r="P38" i="91"/>
  <c r="U38" i="91" s="1"/>
  <c r="H79" i="91"/>
  <c r="P44" i="91"/>
  <c r="S44" i="91" s="1"/>
  <c r="P137" i="91"/>
  <c r="W137" i="91" s="1"/>
  <c r="H144" i="91"/>
  <c r="H172" i="91" s="1"/>
  <c r="P169" i="91"/>
  <c r="P50" i="91"/>
  <c r="W50" i="91" s="1"/>
  <c r="P10" i="91"/>
  <c r="P107" i="91"/>
  <c r="Q107" i="91" s="1"/>
  <c r="R107" i="91" s="1"/>
  <c r="P108" i="91"/>
  <c r="U108" i="91" s="1"/>
  <c r="P77" i="91"/>
  <c r="Q77" i="91" s="1"/>
  <c r="P160" i="91"/>
  <c r="S160" i="91" s="1"/>
  <c r="P148" i="91"/>
  <c r="S148" i="91" s="1"/>
  <c r="AE191" i="91"/>
  <c r="Q48" i="91"/>
  <c r="R48" i="91" s="1"/>
  <c r="W48" i="91"/>
  <c r="W104" i="91"/>
  <c r="Q104" i="91"/>
  <c r="R104" i="91" s="1"/>
  <c r="T104" i="91" s="1"/>
  <c r="U104" i="91"/>
  <c r="P78" i="91"/>
  <c r="W78" i="91" s="1"/>
  <c r="U44" i="91"/>
  <c r="U169" i="91"/>
  <c r="H196" i="91"/>
  <c r="P190" i="91"/>
  <c r="P19" i="91"/>
  <c r="U19" i="91" s="1"/>
  <c r="H20" i="91"/>
  <c r="P43" i="91"/>
  <c r="S43" i="91" s="1"/>
  <c r="S71" i="91"/>
  <c r="Q71" i="91"/>
  <c r="R71" i="91" s="1"/>
  <c r="S169" i="91"/>
  <c r="Q166" i="91"/>
  <c r="R166" i="91" s="1"/>
  <c r="T166" i="91" s="1"/>
  <c r="V166" i="91" s="1"/>
  <c r="W166" i="91"/>
  <c r="U71" i="91"/>
  <c r="U41" i="91"/>
  <c r="W41" i="91"/>
  <c r="U147" i="91"/>
  <c r="W147" i="91"/>
  <c r="S147" i="91"/>
  <c r="P12" i="91"/>
  <c r="S12" i="91" s="1"/>
  <c r="S69" i="91"/>
  <c r="U73" i="91"/>
  <c r="Q147" i="91"/>
  <c r="R147" i="91" s="1"/>
  <c r="T147" i="91" s="1"/>
  <c r="V147" i="91" s="1"/>
  <c r="X147" i="91" s="1"/>
  <c r="P140" i="91"/>
  <c r="S140" i="91" s="1"/>
  <c r="Q154" i="91"/>
  <c r="R154" i="91" s="1"/>
  <c r="T154" i="91" s="1"/>
  <c r="W154" i="91"/>
  <c r="P193" i="91"/>
  <c r="W193" i="91" s="1"/>
  <c r="P42" i="91"/>
  <c r="W42" i="91" s="1"/>
  <c r="P14" i="91"/>
  <c r="S14" i="91" s="1"/>
  <c r="P156" i="91"/>
  <c r="S156" i="91" s="1"/>
  <c r="W105" i="91"/>
  <c r="Q105" i="91"/>
  <c r="R105" i="91" s="1"/>
  <c r="U105" i="91"/>
  <c r="W153" i="91"/>
  <c r="U153" i="91"/>
  <c r="U139" i="91"/>
  <c r="W139" i="91"/>
  <c r="Q46" i="91"/>
  <c r="R46" i="91" s="1"/>
  <c r="S46" i="91"/>
  <c r="M20" i="91"/>
  <c r="S192" i="91"/>
  <c r="R192" i="91"/>
  <c r="W161" i="91"/>
  <c r="P72" i="91"/>
  <c r="W72" i="91" s="1"/>
  <c r="Q68" i="91"/>
  <c r="R68" i="91" s="1"/>
  <c r="P149" i="91"/>
  <c r="W149" i="91" s="1"/>
  <c r="P40" i="91"/>
  <c r="Q40" i="91" s="1"/>
  <c r="R40" i="91" s="1"/>
  <c r="AE170" i="91"/>
  <c r="AE172" i="91" s="1"/>
  <c r="U142" i="91"/>
  <c r="P39" i="91"/>
  <c r="Q39" i="91" s="1"/>
  <c r="R39" i="91" s="1"/>
  <c r="AE76" i="91"/>
  <c r="AE74" i="91"/>
  <c r="AE73" i="91"/>
  <c r="AE72" i="91"/>
  <c r="W195" i="91"/>
  <c r="AE193" i="91"/>
  <c r="M196" i="91"/>
  <c r="U193" i="91"/>
  <c r="O196" i="91"/>
  <c r="AD196" i="91"/>
  <c r="AE187" i="91"/>
  <c r="P187" i="91"/>
  <c r="Q170" i="91"/>
  <c r="R170" i="91" s="1"/>
  <c r="S170" i="91"/>
  <c r="W170" i="91"/>
  <c r="S168" i="91"/>
  <c r="U168" i="91"/>
  <c r="S163" i="91"/>
  <c r="U162" i="91"/>
  <c r="S162" i="91"/>
  <c r="R158" i="91"/>
  <c r="T158" i="91" s="1"/>
  <c r="Q161" i="91"/>
  <c r="R161" i="91" s="1"/>
  <c r="S158" i="91"/>
  <c r="U158" i="91"/>
  <c r="W158" i="91"/>
  <c r="S159" i="91"/>
  <c r="U161" i="91"/>
  <c r="R159" i="91"/>
  <c r="U154" i="91"/>
  <c r="S152" i="91"/>
  <c r="U152" i="91"/>
  <c r="W152" i="91"/>
  <c r="S151" i="91"/>
  <c r="U149" i="91"/>
  <c r="S149" i="91"/>
  <c r="Q149" i="91"/>
  <c r="R149" i="91" s="1"/>
  <c r="O172" i="91"/>
  <c r="W148" i="91"/>
  <c r="AD144" i="91"/>
  <c r="M144" i="91"/>
  <c r="Q142" i="91"/>
  <c r="R142" i="91" s="1"/>
  <c r="T142" i="91" s="1"/>
  <c r="Q141" i="91"/>
  <c r="R141" i="91" s="1"/>
  <c r="W141" i="91"/>
  <c r="AE144" i="91"/>
  <c r="U141" i="91"/>
  <c r="O144" i="91"/>
  <c r="S141" i="91"/>
  <c r="W138" i="91"/>
  <c r="U138" i="91"/>
  <c r="Q138" i="91"/>
  <c r="R138" i="91" s="1"/>
  <c r="T138" i="91"/>
  <c r="AD112" i="91"/>
  <c r="W109" i="91"/>
  <c r="U109" i="91"/>
  <c r="Q109" i="91"/>
  <c r="R109" i="91" s="1"/>
  <c r="T109" i="91" s="1"/>
  <c r="M112" i="91"/>
  <c r="S108" i="91"/>
  <c r="W108" i="91"/>
  <c r="W106" i="91"/>
  <c r="U78" i="91"/>
  <c r="S78" i="91"/>
  <c r="W77" i="91"/>
  <c r="S75" i="91"/>
  <c r="U75" i="91"/>
  <c r="W71" i="91"/>
  <c r="Q67" i="91"/>
  <c r="R67" i="91" s="1"/>
  <c r="T67" i="91" s="1"/>
  <c r="U67" i="91"/>
  <c r="AE65" i="91"/>
  <c r="U65" i="91"/>
  <c r="AE64" i="91"/>
  <c r="Q64" i="91"/>
  <c r="S64" i="91"/>
  <c r="S58" i="91"/>
  <c r="S55" i="91"/>
  <c r="U54" i="91"/>
  <c r="Q54" i="91"/>
  <c r="R54" i="91" s="1"/>
  <c r="S53" i="91"/>
  <c r="R53" i="91"/>
  <c r="T53" i="91" s="1"/>
  <c r="V53" i="91" s="1"/>
  <c r="W53" i="91"/>
  <c r="Q49" i="91"/>
  <c r="R49" i="91" s="1"/>
  <c r="W49" i="91"/>
  <c r="S49" i="91"/>
  <c r="U49" i="91"/>
  <c r="U48" i="91"/>
  <c r="S48" i="91"/>
  <c r="U46" i="91"/>
  <c r="AE43" i="91"/>
  <c r="W43" i="91"/>
  <c r="W40" i="91"/>
  <c r="AE39" i="91"/>
  <c r="AD79" i="91"/>
  <c r="S39" i="91"/>
  <c r="U39" i="91"/>
  <c r="W39" i="91"/>
  <c r="Q19" i="91"/>
  <c r="R19" i="91" s="1"/>
  <c r="AD20" i="91"/>
  <c r="AE20" i="91"/>
  <c r="U14" i="91"/>
  <c r="F201" i="91"/>
  <c r="U9" i="91"/>
  <c r="S9" i="91"/>
  <c r="Q9" i="91"/>
  <c r="W9" i="91"/>
  <c r="W13" i="91"/>
  <c r="S13" i="91"/>
  <c r="U13" i="91"/>
  <c r="Q13" i="91"/>
  <c r="R13" i="91" s="1"/>
  <c r="Q11" i="91"/>
  <c r="R11" i="91" s="1"/>
  <c r="W11" i="91"/>
  <c r="O20" i="91"/>
  <c r="AA201" i="91"/>
  <c r="M79" i="91"/>
  <c r="Q56" i="91"/>
  <c r="R56" i="91" s="1"/>
  <c r="P52" i="91"/>
  <c r="O79" i="91"/>
  <c r="T161" i="91" l="1"/>
  <c r="U15" i="91"/>
  <c r="Q15" i="91"/>
  <c r="R15" i="91" s="1"/>
  <c r="T15" i="91" s="1"/>
  <c r="W55" i="91"/>
  <c r="Q65" i="91"/>
  <c r="R65" i="91" s="1"/>
  <c r="N202" i="91"/>
  <c r="P144" i="91"/>
  <c r="S143" i="91"/>
  <c r="U191" i="91"/>
  <c r="U195" i="91"/>
  <c r="Q69" i="91"/>
  <c r="R69" i="91" s="1"/>
  <c r="W44" i="91"/>
  <c r="W143" i="91"/>
  <c r="T41" i="91"/>
  <c r="V41" i="91" s="1"/>
  <c r="X41" i="91" s="1"/>
  <c r="W15" i="91"/>
  <c r="Q42" i="91"/>
  <c r="R42" i="91" s="1"/>
  <c r="R55" i="91"/>
  <c r="T55" i="91" s="1"/>
  <c r="V55" i="91" s="1"/>
  <c r="X55" i="91" s="1"/>
  <c r="S65" i="91"/>
  <c r="T65" i="91" s="1"/>
  <c r="V65" i="91" s="1"/>
  <c r="X65" i="91" s="1"/>
  <c r="W75" i="91"/>
  <c r="U106" i="91"/>
  <c r="Q108" i="91"/>
  <c r="R108" i="91" s="1"/>
  <c r="O111" i="91"/>
  <c r="O112" i="91" s="1"/>
  <c r="O201" i="91" s="1"/>
  <c r="S153" i="91"/>
  <c r="R164" i="91"/>
  <c r="Q191" i="91"/>
  <c r="R191" i="91" s="1"/>
  <c r="Q195" i="91"/>
  <c r="R195" i="91" s="1"/>
  <c r="T195" i="91" s="1"/>
  <c r="V195" i="91" s="1"/>
  <c r="X195" i="91" s="1"/>
  <c r="S106" i="91"/>
  <c r="W155" i="91"/>
  <c r="Q74" i="91"/>
  <c r="R74" i="91" s="1"/>
  <c r="W69" i="91"/>
  <c r="Q169" i="91"/>
  <c r="R169" i="91" s="1"/>
  <c r="T169" i="91" s="1"/>
  <c r="V169" i="91" s="1"/>
  <c r="X169" i="91" s="1"/>
  <c r="Q143" i="91"/>
  <c r="R143" i="91" s="1"/>
  <c r="Q18" i="91"/>
  <c r="R18" i="91" s="1"/>
  <c r="T18" i="91" s="1"/>
  <c r="V18" i="91" s="1"/>
  <c r="X18" i="91" s="1"/>
  <c r="Q63" i="91"/>
  <c r="R63" i="91" s="1"/>
  <c r="T63" i="91" s="1"/>
  <c r="V63" i="91" s="1"/>
  <c r="X63" i="91" s="1"/>
  <c r="S41" i="91"/>
  <c r="U56" i="91"/>
  <c r="S11" i="91"/>
  <c r="W19" i="91"/>
  <c r="U43" i="91"/>
  <c r="S45" i="91"/>
  <c r="U76" i="91"/>
  <c r="Q78" i="91"/>
  <c r="R78" i="91" s="1"/>
  <c r="U107" i="91"/>
  <c r="R153" i="91"/>
  <c r="U156" i="91"/>
  <c r="S167" i="91"/>
  <c r="T167" i="91" s="1"/>
  <c r="V167" i="91" s="1"/>
  <c r="W169" i="91"/>
  <c r="S74" i="91"/>
  <c r="W38" i="91"/>
  <c r="U55" i="91"/>
  <c r="S68" i="91"/>
  <c r="T68" i="91" s="1"/>
  <c r="V68" i="91" s="1"/>
  <c r="X68" i="91" s="1"/>
  <c r="W68" i="91"/>
  <c r="S42" i="91"/>
  <c r="W45" i="91"/>
  <c r="W107" i="91"/>
  <c r="U148" i="91"/>
  <c r="R151" i="91"/>
  <c r="T151" i="91" s="1"/>
  <c r="Q156" i="91"/>
  <c r="R156" i="91" s="1"/>
  <c r="T156" i="91" s="1"/>
  <c r="V156" i="91" s="1"/>
  <c r="X156" i="91" s="1"/>
  <c r="S73" i="91"/>
  <c r="S38" i="91"/>
  <c r="X70" i="91"/>
  <c r="V189" i="91"/>
  <c r="X189" i="91" s="1"/>
  <c r="Q110" i="91"/>
  <c r="R110" i="91" s="1"/>
  <c r="S56" i="91"/>
  <c r="T56" i="91" s="1"/>
  <c r="V56" i="91" s="1"/>
  <c r="X56" i="91" s="1"/>
  <c r="S40" i="91"/>
  <c r="Q43" i="91"/>
  <c r="R43" i="91" s="1"/>
  <c r="T43" i="91" s="1"/>
  <c r="U42" i="91"/>
  <c r="R45" i="91"/>
  <c r="T45" i="91" s="1"/>
  <c r="V45" i="91" s="1"/>
  <c r="X45" i="91" s="1"/>
  <c r="S107" i="91"/>
  <c r="Q148" i="91"/>
  <c r="V161" i="91"/>
  <c r="X161" i="91" s="1"/>
  <c r="U155" i="91"/>
  <c r="U74" i="91"/>
  <c r="Q38" i="91"/>
  <c r="R38" i="91" s="1"/>
  <c r="W73" i="91"/>
  <c r="W18" i="91"/>
  <c r="H201" i="91"/>
  <c r="R64" i="91"/>
  <c r="T64" i="91" s="1"/>
  <c r="S110" i="91"/>
  <c r="S164" i="91"/>
  <c r="T164" i="91" s="1"/>
  <c r="U164" i="91"/>
  <c r="U45" i="91"/>
  <c r="R77" i="91"/>
  <c r="U110" i="91"/>
  <c r="Q150" i="91"/>
  <c r="R150" i="91" s="1"/>
  <c r="T152" i="91"/>
  <c r="W156" i="91"/>
  <c r="S155" i="91"/>
  <c r="T155" i="91" s="1"/>
  <c r="V155" i="91" s="1"/>
  <c r="X155" i="91" s="1"/>
  <c r="T163" i="91"/>
  <c r="V163" i="91" s="1"/>
  <c r="X163" i="91" s="1"/>
  <c r="U68" i="91"/>
  <c r="U151" i="91"/>
  <c r="T46" i="91"/>
  <c r="V46" i="91" s="1"/>
  <c r="X46" i="91" s="1"/>
  <c r="T69" i="91"/>
  <c r="V69" i="91" s="1"/>
  <c r="U18" i="91"/>
  <c r="T71" i="91"/>
  <c r="V71" i="91" s="1"/>
  <c r="Q10" i="91"/>
  <c r="R10" i="91" s="1"/>
  <c r="W10" i="91"/>
  <c r="Q157" i="91"/>
  <c r="R157" i="91" s="1"/>
  <c r="U157" i="91"/>
  <c r="W157" i="91"/>
  <c r="S157" i="91"/>
  <c r="U47" i="91"/>
  <c r="W47" i="91"/>
  <c r="T19" i="91"/>
  <c r="V19" i="91" s="1"/>
  <c r="X19" i="91" s="1"/>
  <c r="Q76" i="91"/>
  <c r="R76" i="91" s="1"/>
  <c r="T76" i="91" s="1"/>
  <c r="S150" i="91"/>
  <c r="T38" i="91"/>
  <c r="V38" i="91" s="1"/>
  <c r="X38" i="91" s="1"/>
  <c r="T74" i="91"/>
  <c r="Q137" i="91"/>
  <c r="R137" i="91" s="1"/>
  <c r="U64" i="91"/>
  <c r="V64" i="91" s="1"/>
  <c r="X64" i="91" s="1"/>
  <c r="U77" i="91"/>
  <c r="W160" i="91"/>
  <c r="T168" i="91"/>
  <c r="Q160" i="91"/>
  <c r="Q50" i="91"/>
  <c r="R50" i="91" s="1"/>
  <c r="S137" i="91"/>
  <c r="V104" i="91"/>
  <c r="X104" i="91" s="1"/>
  <c r="V168" i="91"/>
  <c r="X168" i="91" s="1"/>
  <c r="R160" i="91"/>
  <c r="T160" i="91" s="1"/>
  <c r="V160" i="91" s="1"/>
  <c r="X160" i="91" s="1"/>
  <c r="X166" i="91"/>
  <c r="H200" i="91"/>
  <c r="U160" i="91"/>
  <c r="S10" i="91"/>
  <c r="S20" i="91" s="1"/>
  <c r="T48" i="91"/>
  <c r="V48" i="91" s="1"/>
  <c r="X48" i="91" s="1"/>
  <c r="S50" i="91"/>
  <c r="W64" i="91"/>
  <c r="W76" i="91"/>
  <c r="U150" i="91"/>
  <c r="R167" i="91"/>
  <c r="W191" i="91"/>
  <c r="T139" i="91"/>
  <c r="V139" i="91" s="1"/>
  <c r="X139" i="91" s="1"/>
  <c r="W12" i="91"/>
  <c r="U10" i="91"/>
  <c r="S19" i="91"/>
  <c r="T42" i="91"/>
  <c r="V42" i="91" s="1"/>
  <c r="X42" i="91" s="1"/>
  <c r="U50" i="91"/>
  <c r="T54" i="91"/>
  <c r="V54" i="91" s="1"/>
  <c r="X54" i="91" s="1"/>
  <c r="T75" i="91"/>
  <c r="V75" i="91" s="1"/>
  <c r="X75" i="91" s="1"/>
  <c r="S77" i="91"/>
  <c r="U167" i="91"/>
  <c r="Q47" i="91"/>
  <c r="R47" i="91" s="1"/>
  <c r="T47" i="91" s="1"/>
  <c r="V47" i="91" s="1"/>
  <c r="X47" i="91" s="1"/>
  <c r="W167" i="91"/>
  <c r="T73" i="91"/>
  <c r="V73" i="91" s="1"/>
  <c r="Q44" i="91"/>
  <c r="R44" i="91" s="1"/>
  <c r="T44" i="91" s="1"/>
  <c r="V44" i="91" s="1"/>
  <c r="X44" i="91" s="1"/>
  <c r="U137" i="91"/>
  <c r="U66" i="91"/>
  <c r="S66" i="91"/>
  <c r="W66" i="91"/>
  <c r="Q66" i="91"/>
  <c r="R66" i="91" s="1"/>
  <c r="T66" i="91" s="1"/>
  <c r="T49" i="91"/>
  <c r="V49" i="91" s="1"/>
  <c r="V152" i="91"/>
  <c r="X152" i="91" s="1"/>
  <c r="Q193" i="91"/>
  <c r="R193" i="91" s="1"/>
  <c r="Q190" i="91"/>
  <c r="R190" i="91" s="1"/>
  <c r="W190" i="91"/>
  <c r="S190" i="91"/>
  <c r="U190" i="91"/>
  <c r="Q12" i="91"/>
  <c r="R12" i="91" s="1"/>
  <c r="T12" i="91" s="1"/>
  <c r="V12" i="91" s="1"/>
  <c r="X12" i="91" s="1"/>
  <c r="Q14" i="91"/>
  <c r="R14" i="91" s="1"/>
  <c r="T14" i="91" s="1"/>
  <c r="V14" i="91" s="1"/>
  <c r="U40" i="91"/>
  <c r="T58" i="91"/>
  <c r="V58" i="91" s="1"/>
  <c r="X58" i="91" s="1"/>
  <c r="X71" i="91"/>
  <c r="T106" i="91"/>
  <c r="V106" i="91" s="1"/>
  <c r="X106" i="91" s="1"/>
  <c r="V109" i="91"/>
  <c r="X109" i="91" s="1"/>
  <c r="P172" i="91"/>
  <c r="T150" i="91"/>
  <c r="V150" i="91" s="1"/>
  <c r="X150" i="91" s="1"/>
  <c r="T191" i="91"/>
  <c r="V191" i="91" s="1"/>
  <c r="X191" i="91" s="1"/>
  <c r="S193" i="91"/>
  <c r="Q72" i="91"/>
  <c r="R72" i="91" s="1"/>
  <c r="S72" i="91"/>
  <c r="U72" i="91"/>
  <c r="T192" i="91"/>
  <c r="V192" i="91" s="1"/>
  <c r="X192" i="91" s="1"/>
  <c r="H202" i="91"/>
  <c r="Q140" i="91"/>
  <c r="R140" i="91" s="1"/>
  <c r="R144" i="91" s="1"/>
  <c r="W140" i="91"/>
  <c r="W144" i="91" s="1"/>
  <c r="U12" i="91"/>
  <c r="U200" i="91" s="1"/>
  <c r="P20" i="91"/>
  <c r="W14" i="91"/>
  <c r="AE79" i="91"/>
  <c r="T107" i="91"/>
  <c r="V107" i="91" s="1"/>
  <c r="X107" i="91" s="1"/>
  <c r="U140" i="91"/>
  <c r="V142" i="91"/>
  <c r="X142" i="91" s="1"/>
  <c r="S187" i="91"/>
  <c r="Q187" i="91"/>
  <c r="W187" i="91"/>
  <c r="U187" i="91"/>
  <c r="P196" i="91"/>
  <c r="T170" i="91"/>
  <c r="V170" i="91" s="1"/>
  <c r="X170" i="91" s="1"/>
  <c r="T162" i="91"/>
  <c r="V162" i="91" s="1"/>
  <c r="X162" i="91" s="1"/>
  <c r="V158" i="91"/>
  <c r="X158" i="91" s="1"/>
  <c r="T159" i="91"/>
  <c r="V159" i="91" s="1"/>
  <c r="X159" i="91" s="1"/>
  <c r="V154" i="91"/>
  <c r="X154" i="91" s="1"/>
  <c r="T153" i="91"/>
  <c r="V153" i="91" s="1"/>
  <c r="X153" i="91" s="1"/>
  <c r="T149" i="91"/>
  <c r="V149" i="91" s="1"/>
  <c r="X149" i="91" s="1"/>
  <c r="U172" i="91"/>
  <c r="R148" i="91"/>
  <c r="T143" i="91"/>
  <c r="V143" i="91" s="1"/>
  <c r="Q144" i="91"/>
  <c r="T141" i="91"/>
  <c r="V141" i="91" s="1"/>
  <c r="X141" i="91" s="1"/>
  <c r="S144" i="91"/>
  <c r="U144" i="91"/>
  <c r="T140" i="91"/>
  <c r="V138" i="91"/>
  <c r="N200" i="91"/>
  <c r="M201" i="91"/>
  <c r="T108" i="91"/>
  <c r="V108" i="91" s="1"/>
  <c r="X108" i="91" s="1"/>
  <c r="T105" i="91"/>
  <c r="T78" i="91"/>
  <c r="V78" i="91" s="1"/>
  <c r="X78" i="91" s="1"/>
  <c r="V67" i="91"/>
  <c r="X67" i="91" s="1"/>
  <c r="X53" i="91"/>
  <c r="X49" i="91"/>
  <c r="V43" i="91"/>
  <c r="X43" i="91" s="1"/>
  <c r="AD201" i="91"/>
  <c r="T40" i="91"/>
  <c r="V40" i="91" s="1"/>
  <c r="X40" i="91" s="1"/>
  <c r="T39" i="91"/>
  <c r="V39" i="91" s="1"/>
  <c r="X39" i="91" s="1"/>
  <c r="S202" i="91"/>
  <c r="T11" i="91"/>
  <c r="V11" i="91" s="1"/>
  <c r="X11" i="91" s="1"/>
  <c r="T13" i="91"/>
  <c r="V13" i="91" s="1"/>
  <c r="X13" i="91" s="1"/>
  <c r="V15" i="91"/>
  <c r="X15" i="91" s="1"/>
  <c r="R9" i="91"/>
  <c r="V8" i="91"/>
  <c r="O200" i="91"/>
  <c r="Q52" i="91"/>
  <c r="W52" i="91"/>
  <c r="U52" i="91"/>
  <c r="P79" i="91"/>
  <c r="S52" i="91"/>
  <c r="T50" i="91" l="1"/>
  <c r="V50" i="91" s="1"/>
  <c r="X50" i="91" s="1"/>
  <c r="S200" i="91"/>
  <c r="V66" i="91"/>
  <c r="X66" i="91" s="1"/>
  <c r="T77" i="91"/>
  <c r="V77" i="91" s="1"/>
  <c r="X77" i="91" s="1"/>
  <c r="V151" i="91"/>
  <c r="X151" i="91" s="1"/>
  <c r="W79" i="91"/>
  <c r="O202" i="91"/>
  <c r="P111" i="91"/>
  <c r="P200" i="91" s="1"/>
  <c r="X143" i="91"/>
  <c r="U196" i="91"/>
  <c r="T72" i="91"/>
  <c r="V72" i="91" s="1"/>
  <c r="X72" i="91" s="1"/>
  <c r="U20" i="91"/>
  <c r="V76" i="91"/>
  <c r="X76" i="91" s="1"/>
  <c r="S172" i="91"/>
  <c r="X69" i="91"/>
  <c r="AE201" i="91"/>
  <c r="T137" i="91"/>
  <c r="V137" i="91" s="1"/>
  <c r="X137" i="91" s="1"/>
  <c r="W200" i="91"/>
  <c r="V164" i="91"/>
  <c r="X164" i="91" s="1"/>
  <c r="S79" i="91"/>
  <c r="V74" i="91"/>
  <c r="X74" i="91" s="1"/>
  <c r="W172" i="91"/>
  <c r="T10" i="91"/>
  <c r="V10" i="91" s="1"/>
  <c r="X10" i="91" s="1"/>
  <c r="Q172" i="91"/>
  <c r="T110" i="91"/>
  <c r="V110" i="91" s="1"/>
  <c r="X110" i="91" s="1"/>
  <c r="W202" i="91"/>
  <c r="S196" i="91"/>
  <c r="X73" i="91"/>
  <c r="Q79" i="91"/>
  <c r="W20" i="91"/>
  <c r="Q202" i="91"/>
  <c r="T190" i="91"/>
  <c r="V190" i="91" s="1"/>
  <c r="X190" i="91" s="1"/>
  <c r="U79" i="91"/>
  <c r="U202" i="91"/>
  <c r="V140" i="91"/>
  <c r="X140" i="91" s="1"/>
  <c r="X167" i="91"/>
  <c r="W196" i="91"/>
  <c r="T157" i="91"/>
  <c r="V157" i="91" s="1"/>
  <c r="X157" i="91" s="1"/>
  <c r="Q20" i="91"/>
  <c r="Q196" i="91"/>
  <c r="X14" i="91"/>
  <c r="Q200" i="91"/>
  <c r="T193" i="91"/>
  <c r="V193" i="91" s="1"/>
  <c r="X193" i="91" s="1"/>
  <c r="R187" i="91"/>
  <c r="T148" i="91"/>
  <c r="R172" i="91"/>
  <c r="T144" i="91"/>
  <c r="X138" i="91"/>
  <c r="Q111" i="91"/>
  <c r="P112" i="91"/>
  <c r="P201" i="91" s="1"/>
  <c r="V105" i="91"/>
  <c r="T9" i="91"/>
  <c r="R20" i="91"/>
  <c r="R200" i="91"/>
  <c r="R202" i="91"/>
  <c r="X8" i="91"/>
  <c r="R52" i="91"/>
  <c r="P202" i="91"/>
  <c r="X144" i="91" l="1"/>
  <c r="V144" i="91"/>
  <c r="T187" i="91"/>
  <c r="R196" i="91"/>
  <c r="V148" i="91"/>
  <c r="T172" i="91"/>
  <c r="R111" i="91"/>
  <c r="Q112" i="91"/>
  <c r="Q201" i="91" s="1"/>
  <c r="X105" i="91"/>
  <c r="V9" i="91"/>
  <c r="T202" i="91"/>
  <c r="T20" i="91"/>
  <c r="T200" i="91"/>
  <c r="R79" i="91"/>
  <c r="T52" i="91"/>
  <c r="T196" i="91" l="1"/>
  <c r="V187" i="91"/>
  <c r="V172" i="91"/>
  <c r="X148" i="91"/>
  <c r="X172" i="91" s="1"/>
  <c r="S111" i="91"/>
  <c r="R112" i="91"/>
  <c r="R201" i="91" s="1"/>
  <c r="X9" i="91"/>
  <c r="V20" i="91"/>
  <c r="V200" i="91"/>
  <c r="V202" i="91"/>
  <c r="V52" i="91"/>
  <c r="T79" i="91"/>
  <c r="V196" i="91" l="1"/>
  <c r="X187" i="91"/>
  <c r="X196" i="91" s="1"/>
  <c r="T111" i="91"/>
  <c r="S112" i="91"/>
  <c r="S201" i="91" s="1"/>
  <c r="X200" i="91"/>
  <c r="X202" i="91"/>
  <c r="X20" i="91"/>
  <c r="X52" i="91"/>
  <c r="X79" i="91" s="1"/>
  <c r="V79" i="91"/>
  <c r="U111" i="91" l="1"/>
  <c r="T112" i="91"/>
  <c r="T201" i="91" s="1"/>
  <c r="V111" i="91" l="1"/>
  <c r="U112" i="91"/>
  <c r="U201" i="91" s="1"/>
  <c r="W111" i="91" l="1"/>
  <c r="V112" i="91"/>
  <c r="V201" i="91" s="1"/>
  <c r="W112" i="91" l="1"/>
  <c r="W201" i="91" s="1"/>
  <c r="X111" i="91"/>
  <c r="X112" i="91" l="1"/>
  <c r="X201" i="91" s="1"/>
  <c r="Y111" i="91"/>
  <c r="Y202" i="91" l="1"/>
  <c r="Y200" i="91"/>
  <c r="Y112" i="91"/>
  <c r="Y201" i="91" s="1"/>
</calcChain>
</file>

<file path=xl/sharedStrings.xml><?xml version="1.0" encoding="utf-8"?>
<sst xmlns="http://schemas.openxmlformats.org/spreadsheetml/2006/main" count="867" uniqueCount="266">
  <si>
    <t>MUNICIPIO DE TONILA, JALISCO</t>
  </si>
  <si>
    <t>Puesto</t>
  </si>
  <si>
    <t>Sueldo</t>
  </si>
  <si>
    <t>P E R C E P C I O N E S</t>
  </si>
  <si>
    <t>Horas</t>
  </si>
  <si>
    <t>TARIFA</t>
  </si>
  <si>
    <t>Credito</t>
  </si>
  <si>
    <t>I.S.R.</t>
  </si>
  <si>
    <t>Subsidio</t>
  </si>
  <si>
    <t xml:space="preserve">D E D U C C I O N E S </t>
  </si>
  <si>
    <t>TOTAL</t>
  </si>
  <si>
    <t>Num.</t>
  </si>
  <si>
    <t>Nombre</t>
  </si>
  <si>
    <t>Laboral</t>
  </si>
  <si>
    <t>diario</t>
  </si>
  <si>
    <t>Bono por</t>
  </si>
  <si>
    <t>Comisiones</t>
  </si>
  <si>
    <t>Otros</t>
  </si>
  <si>
    <t>total</t>
  </si>
  <si>
    <t>Extras</t>
  </si>
  <si>
    <t>Base</t>
  </si>
  <si>
    <t>Limite</t>
  </si>
  <si>
    <t>Excedente</t>
  </si>
  <si>
    <t>%/S exced.</t>
  </si>
  <si>
    <t>Impuesto</t>
  </si>
  <si>
    <t>Cuota</t>
  </si>
  <si>
    <t xml:space="preserve">Al </t>
  </si>
  <si>
    <t>a Cargo</t>
  </si>
  <si>
    <t>Al</t>
  </si>
  <si>
    <t>I.S.P.T.</t>
  </si>
  <si>
    <t>DESCTO.</t>
  </si>
  <si>
    <t>CASA</t>
  </si>
  <si>
    <t>DESCUENTO</t>
  </si>
  <si>
    <t>Total</t>
  </si>
  <si>
    <t xml:space="preserve">A </t>
  </si>
  <si>
    <t>F    I    R    M    A</t>
  </si>
  <si>
    <t>Quincenal</t>
  </si>
  <si>
    <t>Asistencia</t>
  </si>
  <si>
    <t>Puntualidad</t>
  </si>
  <si>
    <t>Gravados</t>
  </si>
  <si>
    <t>Exentos</t>
  </si>
  <si>
    <t>Percepcion</t>
  </si>
  <si>
    <t>Gravadas</t>
  </si>
  <si>
    <t>Gravable</t>
  </si>
  <si>
    <t>Inferior</t>
  </si>
  <si>
    <t>Limite Inf.</t>
  </si>
  <si>
    <t>Marginal</t>
  </si>
  <si>
    <t>Fija</t>
  </si>
  <si>
    <t>Bruto</t>
  </si>
  <si>
    <t>Salario</t>
  </si>
  <si>
    <r>
      <t>o</t>
    </r>
    <r>
      <rPr>
        <b/>
        <sz val="8"/>
        <color indexed="10"/>
        <rFont val="Arial"/>
        <family val="2"/>
      </rPr>
      <t xml:space="preserve"> (A Favor)</t>
    </r>
  </si>
  <si>
    <t>Empleo</t>
  </si>
  <si>
    <t>FUNERAL</t>
  </si>
  <si>
    <t>APRECIA</t>
  </si>
  <si>
    <t>Deduc.</t>
  </si>
  <si>
    <t>PAGAR</t>
  </si>
  <si>
    <t>SALA DE REGIDORES</t>
  </si>
  <si>
    <t>REGIDOR</t>
  </si>
  <si>
    <t>SINDICATURIA</t>
  </si>
  <si>
    <t>SINDICO</t>
  </si>
  <si>
    <t xml:space="preserve">TOTALES </t>
  </si>
  <si>
    <t>ENC HACIENDA MUNICPAL</t>
  </si>
  <si>
    <t>SECRETARIO GENERAL</t>
  </si>
  <si>
    <t>…………………………………………………….</t>
  </si>
  <si>
    <t>INASISTENCIA</t>
  </si>
  <si>
    <t>SECRETARIA GENERAL</t>
  </si>
  <si>
    <t>CANDELARIA BAUTISTA MORENO</t>
  </si>
  <si>
    <t>SECRETARIA</t>
  </si>
  <si>
    <t xml:space="preserve">PRESIDENCIA </t>
  </si>
  <si>
    <t>PRESIDENTE MUNICPAL</t>
  </si>
  <si>
    <t>SANDRA CEBALLOS SILVA</t>
  </si>
  <si>
    <t>OFICIALIA MAYOR</t>
  </si>
  <si>
    <t>OFICIAL MAYOR</t>
  </si>
  <si>
    <t>EMMA FABIOLA GARCIA CARRILLO</t>
  </si>
  <si>
    <t>REGISTRO CIVIL</t>
  </si>
  <si>
    <t>MA DE LOS ANGELES CEBALLOS ROJAS</t>
  </si>
  <si>
    <t>SECRETARIA REG. CIVIL</t>
  </si>
  <si>
    <t>JUNTA MUNICIPAL DE RECLUTAMIENTO</t>
  </si>
  <si>
    <t>ELIZABETH SANCHEZ BONOS</t>
  </si>
  <si>
    <t>SECRETARIA RECLUTAMIENTO</t>
  </si>
  <si>
    <t>DELEGACIONES Y AGENCIAS</t>
  </si>
  <si>
    <t>DELEGADO</t>
  </si>
  <si>
    <t>J JESUS MORENO SOLANO</t>
  </si>
  <si>
    <t>JARDINERO</t>
  </si>
  <si>
    <t>RUBEN BONILLA MALDONADO</t>
  </si>
  <si>
    <t>AUXILIAR OBRAS</t>
  </si>
  <si>
    <t>SERGIO DELGADO MANCILLA</t>
  </si>
  <si>
    <t>AUXILIAR</t>
  </si>
  <si>
    <t>ENC CEMENTERIO</t>
  </si>
  <si>
    <t>ENC CAMPO DEPO</t>
  </si>
  <si>
    <t>ROGELIO RIVERA ESPIRITU</t>
  </si>
  <si>
    <t>AUXILIAR GENERAL</t>
  </si>
  <si>
    <t xml:space="preserve"> </t>
  </si>
  <si>
    <t>AGENCIAS</t>
  </si>
  <si>
    <t>DELEGADO JUAN BARRAGAN</t>
  </si>
  <si>
    <t>DELEGADO ESPERANZA</t>
  </si>
  <si>
    <t>DELEGADO COFRADIA</t>
  </si>
  <si>
    <t>GILBERTO CARRILLO CHAVEZ</t>
  </si>
  <si>
    <t>DELEGADO TENEXCAMILPA</t>
  </si>
  <si>
    <t>FRANCISCO GONZALEZ GONZALEZ</t>
  </si>
  <si>
    <t>FONTANERO</t>
  </si>
  <si>
    <t>SANTOS CARDENAS SERRANO</t>
  </si>
  <si>
    <t>JOSE RODRIGUEZ CARRILLO</t>
  </si>
  <si>
    <t>HACIENDA MUNICIPAL</t>
  </si>
  <si>
    <t>ROGEIRO SAUL CORNEJO RINCON</t>
  </si>
  <si>
    <t>AUX HACIENDA MUNICIPAL</t>
  </si>
  <si>
    <t>CARMEN NEGRETE MARTINEZ</t>
  </si>
  <si>
    <t>INS FISCAL</t>
  </si>
  <si>
    <t>CONTRALORA</t>
  </si>
  <si>
    <t>DIRECTOR DE CATASTRO</t>
  </si>
  <si>
    <t>DIR OBRAS PUBLICAS</t>
  </si>
  <si>
    <t>JESUS BAUTISTA AVALOS</t>
  </si>
  <si>
    <t>OP MAQUINARIA</t>
  </si>
  <si>
    <t>PEDRO SANCHEZ DIAZ</t>
  </si>
  <si>
    <t>SERVICIOS PUBLICOS</t>
  </si>
  <si>
    <t>DIR. SERVICIOS PUBLICOS</t>
  </si>
  <si>
    <t>ADMON DE CENTROS DEPORTIVOS</t>
  </si>
  <si>
    <t>GUILLERMO CORTEZ VIZCAINO</t>
  </si>
  <si>
    <t>LUIS RODRIGUEZ MACIAS</t>
  </si>
  <si>
    <t>GUILLERMO HERNANDEZ ROLON</t>
  </si>
  <si>
    <t>PROMOTOR DEPORTES</t>
  </si>
  <si>
    <t>SERVICIOS GENERALES</t>
  </si>
  <si>
    <t>JOSE MANUEL SILVA FACIO</t>
  </si>
  <si>
    <t>ELECTRICISTA</t>
  </si>
  <si>
    <t>MIGUEL PULIDO GAMA</t>
  </si>
  <si>
    <t>MIGUEL MARTINEZ BELTRAN</t>
  </si>
  <si>
    <t>ROSA EVELIA GARCIA PULIDO</t>
  </si>
  <si>
    <t>INTENDENCIA</t>
  </si>
  <si>
    <t>FIDELINA LOPEZ GUERRERO</t>
  </si>
  <si>
    <t>J JESUS MEJIA HERNANDEZ</t>
  </si>
  <si>
    <t>CHOFER CAMION</t>
  </si>
  <si>
    <t>JOSE DE JESUS ROLON CENTENO</t>
  </si>
  <si>
    <t>ASEO PUBLICO</t>
  </si>
  <si>
    <t>EFREN CAMPOS BERNABE</t>
  </si>
  <si>
    <t>ASEADOR</t>
  </si>
  <si>
    <t>JOSE ALBERTO BENUTO CORTES</t>
  </si>
  <si>
    <t>DAGOBERTO UGARTE SANTANA</t>
  </si>
  <si>
    <t>FILOMENO VARGAS CASIANO</t>
  </si>
  <si>
    <t>ROBERTO MARTINEZ MORENO</t>
  </si>
  <si>
    <t>RAMON NEGRETE FIGUEROA</t>
  </si>
  <si>
    <t>FRANCISCO JOEL ROCHA BENUTO</t>
  </si>
  <si>
    <t>JAVIER RODRIGUEZ AGUILAR</t>
  </si>
  <si>
    <t>CHOFER CAMION RECOLECTOR</t>
  </si>
  <si>
    <t>RASTRO</t>
  </si>
  <si>
    <t>RUBEN CARRILLO MAGAÑA</t>
  </si>
  <si>
    <t>VETERIANRIO</t>
  </si>
  <si>
    <t>ANDRES VARGAS NAVARRO</t>
  </si>
  <si>
    <t>JEFE RASTRO</t>
  </si>
  <si>
    <t>SERVICIOS MEDICOS</t>
  </si>
  <si>
    <t>JUAN ANTONIO MAGALLON SANTIAGO</t>
  </si>
  <si>
    <t>MEDICO MUNICPAL</t>
  </si>
  <si>
    <t>CENTRO CULUTAL</t>
  </si>
  <si>
    <t>GUILLERMINA LAZARIT JUAREZ</t>
  </si>
  <si>
    <t>INSPECCION AGRICOLA Y GANADERA</t>
  </si>
  <si>
    <t>MARCELINO CANO ZEPEDA</t>
  </si>
  <si>
    <t>JEFE AREA</t>
  </si>
  <si>
    <t>INSTITUTO DE LA MUJER</t>
  </si>
  <si>
    <t>INST. DE LA MUJER</t>
  </si>
  <si>
    <t>TOTALES</t>
  </si>
  <si>
    <t>PRESIDENTE MUNICIPAL</t>
  </si>
  <si>
    <t>P A F F A , S.A. DE C.V.</t>
  </si>
  <si>
    <t>TABLAS DE TARIFA Y CREDITO AL SALARIO PARA CALCULO DE I.S.P.T.</t>
  </si>
  <si>
    <t>EJERCICIO 2010</t>
  </si>
  <si>
    <t>T A R I F A</t>
  </si>
  <si>
    <t>SUBSIDO AL EMPLEO</t>
  </si>
  <si>
    <t>MENSUAL</t>
  </si>
  <si>
    <t xml:space="preserve">  %</t>
  </si>
  <si>
    <t>De.......A</t>
  </si>
  <si>
    <t>Subsidio al</t>
  </si>
  <si>
    <t>S/Excedente</t>
  </si>
  <si>
    <t>NOTA:</t>
  </si>
  <si>
    <t>TABLAS PUBLICADAS EL 28 DE DICIEMBRE DE 2009</t>
  </si>
  <si>
    <t>( Estas tablas se actualizan si la inflacion supera el 10% de Inflacion )</t>
  </si>
  <si>
    <t>CONVERSION DE TABLAS A QUINCENALES</t>
  </si>
  <si>
    <t>SUBSIDIO AL</t>
  </si>
  <si>
    <t>EMPLEO</t>
  </si>
  <si>
    <t>Credito al</t>
  </si>
  <si>
    <t>(DOSCIENTOS NOVENTA Y CUATRO MIL QUINIENTOS DOS PESOS 28/100 MN)</t>
  </si>
  <si>
    <t>AUXILIAR ADMINISTRATIVO</t>
  </si>
  <si>
    <t>MA. GUADALUPE JACOBO MARTINEZ</t>
  </si>
  <si>
    <t xml:space="preserve">  </t>
  </si>
  <si>
    <t xml:space="preserve">DESCUENTO </t>
  </si>
  <si>
    <t>LAMINAS</t>
  </si>
  <si>
    <t>PRESTAMO</t>
  </si>
  <si>
    <t>VERONICA GUILLERMO MANCILLA</t>
  </si>
  <si>
    <t>SEC. DE INGRESOS</t>
  </si>
  <si>
    <t>SEC. DE REGIDORES</t>
  </si>
  <si>
    <t>JUSTINO NEGRETE FIGUEROA</t>
  </si>
  <si>
    <t>AUX. DE FOMENTO AGROPECUARIO</t>
  </si>
  <si>
    <t>MARIO IVAN PEREZ AGUILAR</t>
  </si>
  <si>
    <t xml:space="preserve">ALMA DELIA SARMIENTA CUEVAS </t>
  </si>
  <si>
    <t>JOSE MANUEL ADAME ROCHA</t>
  </si>
  <si>
    <t>CARLA NOEMI MAGAÑA LORENZO</t>
  </si>
  <si>
    <t>SALVADOR ROJAS CHAVEZ</t>
  </si>
  <si>
    <t>ANDREA ITZEL RAMOS NUÑEZ</t>
  </si>
  <si>
    <t xml:space="preserve">OWALDO GARCIA AMEZCUA </t>
  </si>
  <si>
    <t>FRANCISCO JAVIER MAGAÑA CISNEROS</t>
  </si>
  <si>
    <t>MARTHA GUADALUPE AGUIRRE CARDENAS</t>
  </si>
  <si>
    <t>PROFR. JOSE MARTIN HERNANDEZ ALVAREZ</t>
  </si>
  <si>
    <t>ENFRO. URIEL ALEJANDRO MAGAÑA RENTERIA</t>
  </si>
  <si>
    <t>MARIO ALBERTO RODRIGUREZ MAGAÑA</t>
  </si>
  <si>
    <t>JOSE MARTIN HERNANDEZ ALVAREZ</t>
  </si>
  <si>
    <t>NORA BELTRAN</t>
  </si>
  <si>
    <t>BERENICE CASTILLO MANZO</t>
  </si>
  <si>
    <t>JUAN MANUEL VAZQUEZ HERNANDEZ</t>
  </si>
  <si>
    <t>FELICIANO IBAÑEZ MONTES DE OCA</t>
  </si>
  <si>
    <t>MARIA ELENA RIVERA AGUILAR</t>
  </si>
  <si>
    <t>JESUS IBAÑES SABAS</t>
  </si>
  <si>
    <t>EZEQUIEL</t>
  </si>
  <si>
    <t>URIEL ALEJANDRO MAGAÑA RENTERIA</t>
  </si>
  <si>
    <t>VICTOR AGUSTIN LUPIAN ZEPEDA</t>
  </si>
  <si>
    <t>JUAN MACIAS CHAVEZ</t>
  </si>
  <si>
    <t>MARCO ANTONIO RAMIREZ ESPITIA</t>
  </si>
  <si>
    <t>HUGO GONZALEZ CUEVAS</t>
  </si>
  <si>
    <t>JAIME HERNANDEZ CARRILLO</t>
  </si>
  <si>
    <t xml:space="preserve">ALAN AVIÑA </t>
  </si>
  <si>
    <t>SISTEMAS</t>
  </si>
  <si>
    <t>CARMEN CRISTINA RETOLAZA MACIAS</t>
  </si>
  <si>
    <t>ROCIO GUADALUPE LOPEZ</t>
  </si>
  <si>
    <t>FOMENTO ECONOMICO</t>
  </si>
  <si>
    <t>JESUS ROLON CABELLOS</t>
  </si>
  <si>
    <t>JOSE LUIS RAMIREZ AGUILAR</t>
  </si>
  <si>
    <t>DIRECT FOMENTO AGROP</t>
  </si>
  <si>
    <t>LUIS ALBERTO BAUTISTA BERNAL</t>
  </si>
  <si>
    <t>JUAN CARLOS SANABRIA González</t>
  </si>
  <si>
    <t>SULDO CON ISR 2019</t>
  </si>
  <si>
    <t>SUELDO MENSUAL CON ISR</t>
  </si>
  <si>
    <t>INCREMENTO 2019 CON EL .03%</t>
  </si>
  <si>
    <t>SUELDO CON ISR</t>
  </si>
  <si>
    <t xml:space="preserve">JUAN </t>
  </si>
  <si>
    <t>No.</t>
  </si>
  <si>
    <t xml:space="preserve">Puesto Laboral </t>
  </si>
  <si>
    <t>NOMINA ADMINISTRATIVA DEL 01 AL 15 DE ENERO DE 2019</t>
  </si>
  <si>
    <t>MUNICIPIO DE TONILA, JALISCO.</t>
  </si>
  <si>
    <t xml:space="preserve">SECRETRIA DE REGIDORES </t>
  </si>
  <si>
    <t xml:space="preserve">EZEQUIEL MAGAÑA </t>
  </si>
  <si>
    <t xml:space="preserve">JUAN CARLOS SANABRIA GONZALEZ  </t>
  </si>
  <si>
    <t xml:space="preserve">CRUZ MEJIA HERNANDEZ </t>
  </si>
  <si>
    <t>INSPECTOR FISCAL</t>
  </si>
  <si>
    <t xml:space="preserve">ENCARGADO DE MAQUINARIA </t>
  </si>
  <si>
    <t xml:space="preserve">LUIS ALBERTO BAUTISTA BERNAL </t>
  </si>
  <si>
    <t>DIRECTOR FOMENTO AGROP</t>
  </si>
  <si>
    <t>ENC CAMPO DEPORTIVO</t>
  </si>
  <si>
    <t xml:space="preserve">ENCARGADO DE HACIENDA MUNICIPAL </t>
  </si>
  <si>
    <t xml:space="preserve">ENFRO. URIEL ALEJANDRO MAGAÑA RENTERIA </t>
  </si>
  <si>
    <t xml:space="preserve">No. </t>
  </si>
  <si>
    <t>NORA ISABEL BELTRAN</t>
  </si>
  <si>
    <t>ENCARGADO HACIENDA MUNICPAL</t>
  </si>
  <si>
    <t xml:space="preserve">OBRAS PÚBLICAS </t>
  </si>
  <si>
    <r>
      <t>o</t>
    </r>
    <r>
      <rPr>
        <b/>
        <sz val="10"/>
        <color indexed="10"/>
        <rFont val="Arial"/>
        <family val="2"/>
      </rPr>
      <t xml:space="preserve"> (A Favor)</t>
    </r>
  </si>
  <si>
    <t xml:space="preserve">PROFR. JOSÉ MARTÍN HERNANDEZ ÁLVAREZ </t>
  </si>
  <si>
    <t>TIPO DE PAGO</t>
  </si>
  <si>
    <t xml:space="preserve">TRANSFERENCIA </t>
  </si>
  <si>
    <t>EFECTIVO</t>
  </si>
  <si>
    <t>TRANSFERENCIA</t>
  </si>
  <si>
    <t>ALONDRO TORRES VELASCO</t>
  </si>
  <si>
    <t>ALONDRA TORRES VELASCO</t>
  </si>
  <si>
    <t>ALAM GEOVANI AVIÑA MANCILLA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</si>
  <si>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</si>
  <si>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ADM-01</t>
  </si>
  <si>
    <t>ADM-02</t>
  </si>
  <si>
    <t>JAIME ANTONIO RAMIREZ CORTES</t>
  </si>
  <si>
    <t>JOVITA FLORES AYALA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</si>
  <si>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</si>
  <si>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NOMINA ADMINISTRATIVA DEL 1 AL 15   DE FEBRERO  DE 2020</t>
  </si>
  <si>
    <t>NOMINA ADMINISTRATIVA DEL 1  AL 15 DE FEBRERO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</si>
</sst>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#,##0.00_ ;[Red]\-#,##0.00\ "/>
    <numFmt numFmtId="166" formatCode="&quot;$&quot;#,##0.00"/>
  </numFmts>
  <fonts count="4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color indexed="10"/>
      <name val="Arial"/>
      <family val="2"/>
    </font>
    <font>
      <b/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color indexed="10"/>
      <name val="Times New Roman"/>
      <family val="1"/>
    </font>
    <font>
      <sz val="8"/>
      <name val="Arial"/>
      <family val="2"/>
    </font>
    <font>
      <b/>
      <sz val="8"/>
      <color indexed="10"/>
      <name val="Arial"/>
      <family val="2"/>
    </font>
    <font>
      <b/>
      <sz val="8"/>
      <color indexed="10"/>
      <name val="Times New Roman"/>
      <family val="1"/>
    </font>
    <font>
      <sz val="10"/>
      <name val="Arial"/>
      <family val="2"/>
    </font>
    <font>
      <sz val="10"/>
      <color theme="1"/>
      <name val="Arial"/>
      <family val="2"/>
    </font>
    <font>
      <b/>
      <sz val="7"/>
      <name val="Arial"/>
      <family val="2"/>
    </font>
    <font>
      <sz val="13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rgb="FFFF0000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4"/>
      <name val="Verdana"/>
      <family val="2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Arial"/>
      <family val="2"/>
    </font>
    <font>
      <b/>
      <sz val="16"/>
      <name val="Arial"/>
      <family val="2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u/>
      <sz val="9"/>
      <color theme="3"/>
      <name val="Arial"/>
      <family val="2"/>
    </font>
    <font>
      <b/>
      <u/>
      <sz val="9"/>
      <color rgb="FF0070C0"/>
      <name val="Arial"/>
      <family val="2"/>
    </font>
    <font>
      <b/>
      <u/>
      <sz val="11"/>
      <color theme="4"/>
      <name val="Arial"/>
      <family val="2"/>
    </font>
    <font>
      <b/>
      <u/>
      <sz val="11"/>
      <color rgb="FF0070C0"/>
      <name val="Arial"/>
      <family val="2"/>
    </font>
    <font>
      <b/>
      <u/>
      <sz val="12"/>
      <color rgb="FF0070C0"/>
      <name val="Arial"/>
      <family val="2"/>
    </font>
    <font>
      <b/>
      <u/>
      <sz val="10"/>
      <color theme="4"/>
      <name val="Arial"/>
      <family val="2"/>
    </font>
    <font>
      <b/>
      <u/>
      <sz val="10"/>
      <color rgb="FF0070C0"/>
      <name val="Arial"/>
      <family val="2"/>
    </font>
    <font>
      <b/>
      <sz val="20"/>
      <color rgb="FFFF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EB4E3D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6" fillId="0" borderId="0" applyFont="0" applyFill="0" applyBorder="0" applyAlignment="0" applyProtection="0"/>
  </cellStyleXfs>
  <cellXfs count="671">
    <xf numFmtId="0" fontId="0" fillId="0" borderId="0" xfId="0"/>
    <xf numFmtId="39" fontId="0" fillId="0" borderId="0" xfId="0" applyNumberFormat="1" applyProtection="1"/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fill"/>
    </xf>
    <xf numFmtId="0" fontId="0" fillId="0" borderId="0" xfId="0" applyProtection="1"/>
    <xf numFmtId="0" fontId="1" fillId="0" borderId="0" xfId="0" applyFont="1" applyProtection="1"/>
    <xf numFmtId="0" fontId="8" fillId="0" borderId="0" xfId="0" applyFont="1" applyProtection="1"/>
    <xf numFmtId="0" fontId="9" fillId="0" borderId="0" xfId="0" applyFont="1" applyProtection="1"/>
    <xf numFmtId="0" fontId="10" fillId="0" borderId="0" xfId="0" applyFont="1" applyProtection="1"/>
    <xf numFmtId="0" fontId="11" fillId="0" borderId="0" xfId="0" applyFont="1" applyProtection="1"/>
    <xf numFmtId="0" fontId="10" fillId="0" borderId="1" xfId="0" applyFont="1" applyBorder="1" applyAlignment="1" applyProtection="1">
      <alignment horizontal="center"/>
    </xf>
    <xf numFmtId="0" fontId="10" fillId="0" borderId="1" xfId="0" applyFont="1" applyBorder="1" applyAlignment="1" applyProtection="1">
      <alignment horizontal="fill"/>
    </xf>
    <xf numFmtId="0" fontId="10" fillId="0" borderId="0" xfId="0" applyFont="1" applyAlignment="1" applyProtection="1">
      <alignment horizontal="fill"/>
    </xf>
    <xf numFmtId="39" fontId="10" fillId="0" borderId="1" xfId="0" applyNumberFormat="1" applyFont="1" applyBorder="1" applyProtection="1"/>
    <xf numFmtId="10" fontId="10" fillId="0" borderId="1" xfId="0" applyNumberFormat="1" applyFont="1" applyBorder="1" applyProtection="1"/>
    <xf numFmtId="39" fontId="10" fillId="0" borderId="0" xfId="0" applyNumberFormat="1" applyFont="1" applyProtection="1"/>
    <xf numFmtId="39" fontId="10" fillId="0" borderId="2" xfId="0" applyNumberFormat="1" applyFont="1" applyBorder="1" applyProtection="1"/>
    <xf numFmtId="10" fontId="10" fillId="0" borderId="2" xfId="0" applyNumberFormat="1" applyFont="1" applyBorder="1" applyProtection="1"/>
    <xf numFmtId="0" fontId="10" fillId="0" borderId="2" xfId="0" applyFont="1" applyBorder="1" applyProtection="1"/>
    <xf numFmtId="0" fontId="12" fillId="0" borderId="0" xfId="0" applyFont="1" applyProtection="1"/>
    <xf numFmtId="0" fontId="11" fillId="0" borderId="0" xfId="0" applyFont="1" applyProtection="1">
      <protection locked="0"/>
    </xf>
    <xf numFmtId="39" fontId="10" fillId="0" borderId="1" xfId="0" applyNumberFormat="1" applyFont="1" applyBorder="1" applyProtection="1">
      <protection locked="0"/>
    </xf>
    <xf numFmtId="10" fontId="10" fillId="0" borderId="1" xfId="0" applyNumberFormat="1" applyFont="1" applyBorder="1" applyProtection="1">
      <protection locked="0"/>
    </xf>
    <xf numFmtId="39" fontId="10" fillId="0" borderId="1" xfId="0" applyNumberFormat="1" applyFont="1" applyFill="1" applyBorder="1" applyProtection="1">
      <protection locked="0"/>
    </xf>
    <xf numFmtId="0" fontId="3" fillId="0" borderId="3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0" fontId="15" fillId="0" borderId="0" xfId="0" applyFont="1" applyProtection="1"/>
    <xf numFmtId="0" fontId="0" fillId="0" borderId="0" xfId="0" applyBorder="1" applyProtection="1"/>
    <xf numFmtId="0" fontId="0" fillId="0" borderId="0" xfId="0" applyFill="1" applyBorder="1" applyProtection="1"/>
    <xf numFmtId="0" fontId="1" fillId="0" borderId="0" xfId="0" applyFont="1" applyAlignment="1" applyProtection="1">
      <alignment horizontal="center"/>
    </xf>
    <xf numFmtId="0" fontId="0" fillId="0" borderId="0" xfId="0" applyFill="1" applyProtection="1"/>
    <xf numFmtId="44" fontId="4" fillId="0" borderId="0" xfId="4" applyFont="1" applyBorder="1" applyAlignment="1" applyProtection="1">
      <alignment horizontal="right"/>
    </xf>
    <xf numFmtId="0" fontId="3" fillId="0" borderId="3" xfId="0" applyFont="1" applyFill="1" applyBorder="1" applyAlignment="1" applyProtection="1">
      <alignment horizontal="center"/>
    </xf>
    <xf numFmtId="43" fontId="3" fillId="0" borderId="1" xfId="2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</xf>
    <xf numFmtId="44" fontId="0" fillId="0" borderId="0" xfId="4" applyFont="1" applyFill="1" applyBorder="1" applyProtection="1"/>
    <xf numFmtId="44" fontId="17" fillId="0" borderId="0" xfId="0" applyNumberFormat="1" applyFont="1" applyFill="1" applyBorder="1" applyProtection="1"/>
    <xf numFmtId="0" fontId="3" fillId="0" borderId="10" xfId="0" applyFont="1" applyBorder="1" applyAlignment="1" applyProtection="1">
      <alignment horizontal="center"/>
    </xf>
    <xf numFmtId="0" fontId="3" fillId="0" borderId="14" xfId="0" applyFont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165" fontId="4" fillId="0" borderId="0" xfId="2" applyNumberFormat="1" applyFont="1" applyFill="1" applyBorder="1" applyAlignment="1" applyProtection="1">
      <alignment horizontal="right"/>
    </xf>
    <xf numFmtId="44" fontId="1" fillId="0" borderId="8" xfId="4" applyFont="1" applyFill="1" applyBorder="1" applyAlignment="1" applyProtection="1">
      <alignment horizontal="right"/>
    </xf>
    <xf numFmtId="44" fontId="20" fillId="0" borderId="8" xfId="4" applyFont="1" applyFill="1" applyBorder="1" applyAlignment="1" applyProtection="1">
      <alignment horizontal="right"/>
    </xf>
    <xf numFmtId="0" fontId="20" fillId="0" borderId="0" xfId="0" applyFont="1"/>
    <xf numFmtId="0" fontId="20" fillId="0" borderId="8" xfId="0" applyFont="1" applyBorder="1" applyAlignment="1" applyProtection="1">
      <alignment horizontal="center"/>
    </xf>
    <xf numFmtId="44" fontId="20" fillId="0" borderId="8" xfId="4" applyFont="1" applyBorder="1" applyAlignment="1" applyProtection="1">
      <alignment horizontal="right"/>
      <protection locked="0"/>
    </xf>
    <xf numFmtId="0" fontId="20" fillId="0" borderId="8" xfId="0" applyFont="1" applyFill="1" applyBorder="1" applyAlignment="1" applyProtection="1">
      <alignment horizontal="center"/>
    </xf>
    <xf numFmtId="44" fontId="1" fillId="0" borderId="0" xfId="4" applyFont="1" applyFill="1" applyBorder="1" applyAlignment="1" applyProtection="1">
      <alignment horizontal="right"/>
    </xf>
    <xf numFmtId="44" fontId="20" fillId="0" borderId="8" xfId="4" applyFont="1" applyFill="1" applyBorder="1" applyAlignment="1" applyProtection="1">
      <alignment horizontal="right"/>
      <protection locked="0"/>
    </xf>
    <xf numFmtId="44" fontId="20" fillId="0" borderId="0" xfId="4" applyFont="1" applyFill="1" applyBorder="1" applyAlignment="1" applyProtection="1">
      <alignment horizontal="right"/>
    </xf>
    <xf numFmtId="0" fontId="20" fillId="0" borderId="0" xfId="0" applyFont="1" applyFill="1" applyBorder="1" applyAlignment="1" applyProtection="1">
      <alignment horizontal="center"/>
    </xf>
    <xf numFmtId="0" fontId="1" fillId="0" borderId="0" xfId="0" applyFont="1"/>
    <xf numFmtId="44" fontId="1" fillId="2" borderId="8" xfId="4" applyFont="1" applyFill="1" applyBorder="1" applyAlignment="1" applyProtection="1">
      <alignment horizontal="right"/>
    </xf>
    <xf numFmtId="166" fontId="20" fillId="0" borderId="8" xfId="4" applyNumberFormat="1" applyFont="1" applyFill="1" applyBorder="1" applyAlignment="1" applyProtection="1">
      <alignment horizontal="right"/>
    </xf>
    <xf numFmtId="0" fontId="13" fillId="0" borderId="8" xfId="0" applyFont="1" applyFill="1" applyBorder="1" applyAlignment="1" applyProtection="1">
      <alignment horizontal="center"/>
      <protection locked="0"/>
    </xf>
    <xf numFmtId="0" fontId="13" fillId="0" borderId="0" xfId="0" applyFont="1"/>
    <xf numFmtId="0" fontId="13" fillId="0" borderId="8" xfId="0" applyFont="1" applyFill="1" applyBorder="1" applyAlignment="1" applyProtection="1">
      <alignment horizontal="center" wrapText="1"/>
      <protection locked="0"/>
    </xf>
    <xf numFmtId="0" fontId="13" fillId="0" borderId="8" xfId="0" applyFont="1" applyFill="1" applyBorder="1" applyAlignment="1" applyProtection="1">
      <alignment horizontal="center" vertical="center" wrapText="1"/>
      <protection locked="0"/>
    </xf>
    <xf numFmtId="0" fontId="13" fillId="0" borderId="4" xfId="0" applyFont="1" applyFill="1" applyBorder="1" applyAlignment="1" applyProtection="1">
      <alignment horizontal="center" wrapText="1"/>
      <protection locked="0"/>
    </xf>
    <xf numFmtId="0" fontId="13" fillId="0" borderId="3" xfId="0" applyFont="1" applyBorder="1" applyAlignment="1" applyProtection="1">
      <alignment horizontal="center"/>
    </xf>
    <xf numFmtId="0" fontId="20" fillId="0" borderId="8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6" xfId="0" applyFont="1" applyFill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44" fontId="13" fillId="0" borderId="8" xfId="4" applyFont="1" applyFill="1" applyBorder="1" applyAlignment="1" applyProtection="1">
      <alignment horizontal="right"/>
    </xf>
    <xf numFmtId="44" fontId="13" fillId="0" borderId="8" xfId="4" applyFont="1" applyBorder="1" applyAlignment="1" applyProtection="1">
      <alignment horizontal="right"/>
    </xf>
    <xf numFmtId="44" fontId="13" fillId="0" borderId="8" xfId="4" applyFont="1" applyFill="1" applyBorder="1" applyAlignment="1" applyProtection="1">
      <alignment horizontal="center"/>
    </xf>
    <xf numFmtId="0" fontId="3" fillId="4" borderId="4" xfId="0" applyFont="1" applyFill="1" applyBorder="1" applyAlignment="1" applyProtection="1">
      <alignment horizontal="center" vertical="center"/>
    </xf>
    <xf numFmtId="0" fontId="3" fillId="4" borderId="3" xfId="0" applyFont="1" applyFill="1" applyBorder="1" applyAlignment="1" applyProtection="1">
      <alignment horizontal="center" vertical="center"/>
    </xf>
    <xf numFmtId="44" fontId="1" fillId="4" borderId="8" xfId="4" applyFont="1" applyFill="1" applyBorder="1" applyAlignment="1" applyProtection="1">
      <alignment horizontal="right"/>
    </xf>
    <xf numFmtId="44" fontId="1" fillId="4" borderId="8" xfId="4" applyFont="1" applyFill="1" applyBorder="1" applyAlignment="1" applyProtection="1">
      <alignment horizontal="center"/>
    </xf>
    <xf numFmtId="0" fontId="1" fillId="4" borderId="0" xfId="0" applyFont="1" applyFill="1"/>
    <xf numFmtId="166" fontId="13" fillId="0" borderId="4" xfId="0" applyNumberFormat="1" applyFont="1" applyBorder="1" applyAlignment="1">
      <alignment horizontal="center" vertical="center"/>
    </xf>
    <xf numFmtId="166" fontId="13" fillId="0" borderId="4" xfId="0" applyNumberFormat="1" applyFont="1" applyBorder="1"/>
    <xf numFmtId="0" fontId="20" fillId="5" borderId="8" xfId="0" applyFont="1" applyFill="1" applyBorder="1" applyAlignment="1">
      <alignment horizontal="center"/>
    </xf>
    <xf numFmtId="0" fontId="13" fillId="5" borderId="8" xfId="0" applyFont="1" applyFill="1" applyBorder="1" applyAlignment="1" applyProtection="1">
      <alignment horizontal="center"/>
      <protection locked="0"/>
    </xf>
    <xf numFmtId="44" fontId="20" fillId="5" borderId="8" xfId="4" applyFont="1" applyFill="1" applyBorder="1" applyAlignment="1" applyProtection="1">
      <alignment horizontal="right"/>
      <protection locked="0"/>
    </xf>
    <xf numFmtId="44" fontId="20" fillId="5" borderId="0" xfId="4" applyFont="1" applyFill="1" applyBorder="1" applyAlignment="1" applyProtection="1">
      <alignment horizontal="right"/>
    </xf>
    <xf numFmtId="44" fontId="1" fillId="5" borderId="8" xfId="4" applyFont="1" applyFill="1" applyBorder="1" applyAlignment="1" applyProtection="1">
      <alignment horizontal="right"/>
    </xf>
    <xf numFmtId="44" fontId="1" fillId="5" borderId="0" xfId="4" applyFont="1" applyFill="1" applyBorder="1" applyAlignment="1" applyProtection="1">
      <alignment horizontal="right"/>
    </xf>
    <xf numFmtId="44" fontId="13" fillId="5" borderId="8" xfId="4" applyFont="1" applyFill="1" applyBorder="1" applyAlignment="1" applyProtection="1">
      <alignment horizontal="center"/>
    </xf>
    <xf numFmtId="44" fontId="13" fillId="5" borderId="8" xfId="4" applyFont="1" applyFill="1" applyBorder="1" applyAlignment="1" applyProtection="1">
      <alignment horizontal="right"/>
    </xf>
    <xf numFmtId="166" fontId="13" fillId="5" borderId="4" xfId="0" applyNumberFormat="1" applyFont="1" applyFill="1" applyBorder="1" applyAlignment="1">
      <alignment horizontal="center" vertical="center"/>
    </xf>
    <xf numFmtId="0" fontId="0" fillId="5" borderId="0" xfId="0" applyFill="1"/>
    <xf numFmtId="44" fontId="13" fillId="0" borderId="22" xfId="4" applyFont="1" applyBorder="1" applyAlignment="1" applyProtection="1">
      <alignment horizontal="right"/>
    </xf>
    <xf numFmtId="44" fontId="13" fillId="7" borderId="4" xfId="4" applyFont="1" applyFill="1" applyBorder="1" applyAlignment="1" applyProtection="1">
      <alignment horizontal="right"/>
    </xf>
    <xf numFmtId="0" fontId="13" fillId="7" borderId="4" xfId="0" applyFont="1" applyFill="1" applyBorder="1"/>
    <xf numFmtId="0" fontId="13" fillId="8" borderId="0" xfId="0" applyFont="1" applyFill="1" applyAlignment="1">
      <alignment vertical="center"/>
    </xf>
    <xf numFmtId="44" fontId="24" fillId="9" borderId="4" xfId="4" applyFont="1" applyFill="1" applyBorder="1" applyAlignment="1" applyProtection="1">
      <alignment horizontal="right"/>
    </xf>
    <xf numFmtId="0" fontId="24" fillId="9" borderId="4" xfId="0" applyFont="1" applyFill="1" applyBorder="1"/>
    <xf numFmtId="44" fontId="13" fillId="7" borderId="23" xfId="4" applyFont="1" applyFill="1" applyBorder="1" applyAlignment="1" applyProtection="1">
      <alignment horizontal="right" vertical="center"/>
    </xf>
    <xf numFmtId="0" fontId="13" fillId="0" borderId="0" xfId="0" applyFont="1" applyAlignment="1">
      <alignment horizontal="center"/>
    </xf>
    <xf numFmtId="166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5" borderId="0" xfId="0" applyFont="1" applyFill="1" applyAlignment="1">
      <alignment horizontal="center"/>
    </xf>
    <xf numFmtId="0" fontId="25" fillId="0" borderId="3" xfId="0" applyFont="1" applyFill="1" applyBorder="1" applyAlignment="1" applyProtection="1">
      <alignment horizontal="left" vertical="center"/>
    </xf>
    <xf numFmtId="0" fontId="26" fillId="0" borderId="2" xfId="0" applyFont="1" applyFill="1" applyBorder="1" applyAlignment="1" applyProtection="1">
      <alignment horizontal="left" vertical="center"/>
    </xf>
    <xf numFmtId="0" fontId="25" fillId="0" borderId="8" xfId="0" applyFont="1" applyFill="1" applyBorder="1" applyAlignment="1" applyProtection="1">
      <alignment horizontal="left" vertical="center"/>
      <protection locked="0"/>
    </xf>
    <xf numFmtId="0" fontId="25" fillId="0" borderId="9" xfId="0" applyFont="1" applyFill="1" applyBorder="1" applyAlignment="1" applyProtection="1">
      <alignment horizontal="left" vertical="center"/>
      <protection locked="0"/>
    </xf>
    <xf numFmtId="0" fontId="25" fillId="0" borderId="4" xfId="0" applyFont="1" applyFill="1" applyBorder="1" applyAlignment="1" applyProtection="1">
      <alignment horizontal="left" vertical="center"/>
      <protection locked="0"/>
    </xf>
    <xf numFmtId="0" fontId="25" fillId="0" borderId="20" xfId="0" applyFont="1" applyFill="1" applyBorder="1" applyAlignment="1" applyProtection="1">
      <alignment horizontal="left" vertical="center"/>
      <protection locked="0"/>
    </xf>
    <xf numFmtId="0" fontId="25" fillId="5" borderId="9" xfId="0" applyFont="1" applyFill="1" applyBorder="1" applyAlignment="1" applyProtection="1">
      <alignment horizontal="left" vertical="center"/>
      <protection locked="0"/>
    </xf>
    <xf numFmtId="0" fontId="25" fillId="0" borderId="0" xfId="0" applyFont="1" applyAlignment="1">
      <alignment horizontal="left" vertical="center"/>
    </xf>
    <xf numFmtId="0" fontId="24" fillId="9" borderId="3" xfId="0" applyFont="1" applyFill="1" applyBorder="1"/>
    <xf numFmtId="166" fontId="13" fillId="0" borderId="3" xfId="0" applyNumberFormat="1" applyFont="1" applyBorder="1"/>
    <xf numFmtId="0" fontId="13" fillId="7" borderId="3" xfId="0" applyFont="1" applyFill="1" applyBorder="1"/>
    <xf numFmtId="44" fontId="24" fillId="9" borderId="2" xfId="4" applyFont="1" applyFill="1" applyBorder="1" applyAlignment="1" applyProtection="1">
      <alignment horizontal="right"/>
    </xf>
    <xf numFmtId="166" fontId="13" fillId="0" borderId="2" xfId="0" applyNumberFormat="1" applyFont="1" applyBorder="1" applyAlignment="1">
      <alignment horizontal="center" vertical="center"/>
    </xf>
    <xf numFmtId="44" fontId="13" fillId="7" borderId="2" xfId="4" applyFont="1" applyFill="1" applyBorder="1" applyAlignment="1" applyProtection="1">
      <alignment horizontal="right"/>
    </xf>
    <xf numFmtId="0" fontId="20" fillId="0" borderId="4" xfId="0" applyFont="1" applyBorder="1" applyAlignment="1">
      <alignment horizontal="center"/>
    </xf>
    <xf numFmtId="44" fontId="20" fillId="0" borderId="4" xfId="4" applyFont="1" applyFill="1" applyBorder="1" applyAlignment="1" applyProtection="1">
      <alignment horizontal="right"/>
      <protection locked="0"/>
    </xf>
    <xf numFmtId="166" fontId="20" fillId="0" borderId="4" xfId="4" applyNumberFormat="1" applyFont="1" applyFill="1" applyBorder="1" applyAlignment="1" applyProtection="1">
      <alignment horizontal="right"/>
    </xf>
    <xf numFmtId="44" fontId="20" fillId="0" borderId="4" xfId="4" applyFont="1" applyFill="1" applyBorder="1" applyAlignment="1" applyProtection="1">
      <alignment horizontal="right"/>
    </xf>
    <xf numFmtId="44" fontId="1" fillId="0" borderId="4" xfId="4" applyFont="1" applyFill="1" applyBorder="1" applyAlignment="1" applyProtection="1">
      <alignment horizontal="right"/>
    </xf>
    <xf numFmtId="44" fontId="1" fillId="4" borderId="4" xfId="4" applyFont="1" applyFill="1" applyBorder="1" applyAlignment="1" applyProtection="1">
      <alignment horizontal="right"/>
    </xf>
    <xf numFmtId="44" fontId="13" fillId="0" borderId="4" xfId="4" applyFont="1" applyFill="1" applyBorder="1" applyAlignment="1" applyProtection="1">
      <alignment horizontal="right"/>
    </xf>
    <xf numFmtId="44" fontId="13" fillId="0" borderId="4" xfId="4" applyFont="1" applyBorder="1" applyAlignment="1" applyProtection="1">
      <alignment horizontal="right"/>
    </xf>
    <xf numFmtId="44" fontId="13" fillId="8" borderId="4" xfId="4" applyFont="1" applyFill="1" applyBorder="1" applyAlignment="1" applyProtection="1">
      <alignment horizontal="right" vertical="center"/>
    </xf>
    <xf numFmtId="166" fontId="13" fillId="0" borderId="4" xfId="0" applyNumberFormat="1" applyFont="1" applyBorder="1" applyAlignment="1">
      <alignment horizontal="center"/>
    </xf>
    <xf numFmtId="0" fontId="20" fillId="0" borderId="4" xfId="0" applyFont="1" applyFill="1" applyBorder="1" applyAlignment="1" applyProtection="1">
      <alignment horizontal="center"/>
    </xf>
    <xf numFmtId="0" fontId="13" fillId="0" borderId="4" xfId="0" applyFont="1" applyFill="1" applyBorder="1" applyAlignment="1" applyProtection="1">
      <alignment horizontal="center"/>
      <protection locked="0"/>
    </xf>
    <xf numFmtId="44" fontId="20" fillId="0" borderId="4" xfId="4" applyFont="1" applyFill="1" applyBorder="1" applyAlignment="1" applyProtection="1">
      <alignment horizontal="center"/>
      <protection locked="0"/>
    </xf>
    <xf numFmtId="44" fontId="4" fillId="0" borderId="4" xfId="4" applyFont="1" applyFill="1" applyBorder="1" applyAlignment="1" applyProtection="1">
      <alignment horizontal="center"/>
    </xf>
    <xf numFmtId="44" fontId="1" fillId="0" borderId="4" xfId="4" applyFont="1" applyFill="1" applyBorder="1" applyAlignment="1" applyProtection="1">
      <alignment horizontal="center"/>
    </xf>
    <xf numFmtId="44" fontId="1" fillId="4" borderId="4" xfId="4" applyFont="1" applyFill="1" applyBorder="1" applyAlignment="1" applyProtection="1">
      <alignment horizontal="center"/>
    </xf>
    <xf numFmtId="44" fontId="13" fillId="0" borderId="4" xfId="4" applyFont="1" applyFill="1" applyBorder="1" applyAlignment="1" applyProtection="1">
      <alignment horizontal="center"/>
    </xf>
    <xf numFmtId="0" fontId="26" fillId="0" borderId="1" xfId="0" applyFont="1" applyFill="1" applyBorder="1" applyAlignment="1" applyProtection="1">
      <alignment horizontal="center" vertical="center"/>
    </xf>
    <xf numFmtId="0" fontId="23" fillId="9" borderId="7" xfId="0" applyFont="1" applyFill="1" applyBorder="1" applyAlignment="1" applyProtection="1">
      <alignment horizontal="center" vertical="center" wrapText="1"/>
    </xf>
    <xf numFmtId="0" fontId="23" fillId="9" borderId="0" xfId="0" applyFont="1" applyFill="1" applyBorder="1" applyAlignment="1" applyProtection="1">
      <alignment horizontal="center" vertical="center" wrapText="1"/>
    </xf>
    <xf numFmtId="0" fontId="23" fillId="9" borderId="19" xfId="0" applyFont="1" applyFill="1" applyBorder="1" applyAlignment="1" applyProtection="1">
      <alignment horizontal="center" vertical="center" wrapText="1"/>
    </xf>
    <xf numFmtId="0" fontId="24" fillId="9" borderId="0" xfId="0" applyFont="1" applyFill="1" applyAlignment="1">
      <alignment vertical="center"/>
    </xf>
    <xf numFmtId="44" fontId="24" fillId="9" borderId="4" xfId="4" applyFont="1" applyFill="1" applyBorder="1" applyAlignment="1" applyProtection="1">
      <alignment horizontal="right" vertical="center"/>
    </xf>
    <xf numFmtId="44" fontId="24" fillId="9" borderId="0" xfId="4" applyFont="1" applyFill="1" applyBorder="1" applyAlignment="1" applyProtection="1">
      <alignment horizontal="right" vertical="center"/>
    </xf>
    <xf numFmtId="166" fontId="0" fillId="0" borderId="0" xfId="0" applyNumberFormat="1"/>
    <xf numFmtId="0" fontId="3" fillId="6" borderId="7" xfId="0" applyFont="1" applyFill="1" applyBorder="1" applyAlignment="1" applyProtection="1">
      <alignment horizontal="center" vertical="center"/>
    </xf>
    <xf numFmtId="0" fontId="3" fillId="6" borderId="0" xfId="0" applyFont="1" applyFill="1" applyBorder="1" applyAlignment="1" applyProtection="1">
      <alignment horizontal="center" vertical="center"/>
    </xf>
    <xf numFmtId="0" fontId="3" fillId="6" borderId="19" xfId="0" applyFont="1" applyFill="1" applyBorder="1" applyAlignment="1" applyProtection="1">
      <alignment horizontal="center" vertical="center"/>
    </xf>
    <xf numFmtId="0" fontId="13" fillId="6" borderId="0" xfId="0" applyFont="1" applyFill="1" applyAlignment="1">
      <alignment vertical="center"/>
    </xf>
    <xf numFmtId="44" fontId="13" fillId="6" borderId="4" xfId="4" applyFont="1" applyFill="1" applyBorder="1" applyAlignment="1" applyProtection="1">
      <alignment horizontal="right" vertical="center"/>
    </xf>
    <xf numFmtId="44" fontId="13" fillId="6" borderId="23" xfId="4" applyFont="1" applyFill="1" applyBorder="1" applyAlignment="1" applyProtection="1">
      <alignment horizontal="right" vertical="center"/>
    </xf>
    <xf numFmtId="166" fontId="13" fillId="6" borderId="23" xfId="4" applyNumberFormat="1" applyFont="1" applyFill="1" applyBorder="1" applyAlignment="1" applyProtection="1">
      <alignment horizontal="right" vertical="center"/>
    </xf>
    <xf numFmtId="44" fontId="4" fillId="0" borderId="0" xfId="4" applyFont="1" applyFill="1" applyBorder="1" applyAlignment="1" applyProtection="1">
      <alignment horizontal="right" vertical="center"/>
    </xf>
    <xf numFmtId="0" fontId="0" fillId="0" borderId="0" xfId="0" applyBorder="1" applyAlignment="1" applyProtection="1">
      <alignment vertical="center"/>
    </xf>
    <xf numFmtId="0" fontId="0" fillId="0" borderId="13" xfId="0" applyBorder="1" applyAlignment="1" applyProtection="1">
      <alignment vertical="center"/>
    </xf>
    <xf numFmtId="165" fontId="0" fillId="0" borderId="0" xfId="0" applyNumberFormat="1" applyAlignment="1" applyProtection="1">
      <alignment vertical="center"/>
    </xf>
    <xf numFmtId="44" fontId="0" fillId="0" borderId="0" xfId="4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3" xfId="0" applyBorder="1" applyAlignment="1" applyProtection="1">
      <alignment vertical="center"/>
    </xf>
    <xf numFmtId="0" fontId="0" fillId="0" borderId="0" xfId="0" applyFill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0" fillId="0" borderId="21" xfId="0" applyFill="1" applyBorder="1" applyAlignment="1" applyProtection="1">
      <alignment horizontal="center" vertical="center"/>
    </xf>
    <xf numFmtId="44" fontId="0" fillId="0" borderId="0" xfId="4" applyFont="1" applyFill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  <protection locked="0"/>
    </xf>
    <xf numFmtId="44" fontId="0" fillId="0" borderId="0" xfId="0" applyNumberFormat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44" fontId="7" fillId="0" borderId="0" xfId="4" applyFont="1" applyFill="1" applyBorder="1" applyAlignment="1" applyProtection="1">
      <alignment horizontal="right" vertical="center"/>
      <protection locked="0"/>
    </xf>
    <xf numFmtId="0" fontId="0" fillId="0" borderId="0" xfId="0" applyFill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4" fillId="0" borderId="19" xfId="0" applyFont="1" applyFill="1" applyBorder="1" applyAlignment="1" applyProtection="1">
      <alignment horizontal="center" vertical="center"/>
    </xf>
    <xf numFmtId="44" fontId="7" fillId="0" borderId="19" xfId="4" applyFont="1" applyFill="1" applyBorder="1" applyAlignment="1" applyProtection="1">
      <alignment horizontal="right" vertical="center"/>
      <protection locked="0"/>
    </xf>
    <xf numFmtId="0" fontId="5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44" fontId="6" fillId="0" borderId="0" xfId="4" applyFont="1" applyFill="1" applyBorder="1" applyAlignment="1" applyProtection="1">
      <alignment horizontal="right" vertical="center"/>
      <protection locked="0"/>
    </xf>
    <xf numFmtId="0" fontId="4" fillId="0" borderId="3" xfId="0" applyFont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44" fontId="7" fillId="0" borderId="1" xfId="4" applyFont="1" applyFill="1" applyBorder="1" applyAlignment="1" applyProtection="1">
      <alignment horizontal="right" vertical="center"/>
      <protection locked="0"/>
    </xf>
    <xf numFmtId="0" fontId="0" fillId="0" borderId="13" xfId="0" applyFill="1" applyBorder="1" applyAlignment="1" applyProtection="1">
      <alignment vertical="center"/>
    </xf>
    <xf numFmtId="0" fontId="0" fillId="0" borderId="23" xfId="0" applyFill="1" applyBorder="1" applyAlignment="1" applyProtection="1">
      <alignment vertical="center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44" fontId="7" fillId="0" borderId="4" xfId="4" applyFont="1" applyFill="1" applyBorder="1" applyAlignment="1" applyProtection="1">
      <alignment horizontal="right" vertical="center"/>
      <protection locked="0"/>
    </xf>
    <xf numFmtId="0" fontId="4" fillId="0" borderId="1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  <protection locked="0"/>
    </xf>
    <xf numFmtId="44" fontId="7" fillId="0" borderId="3" xfId="4" applyFont="1" applyFill="1" applyBorder="1" applyAlignment="1" applyProtection="1">
      <alignment horizontal="right" vertical="center"/>
      <protection locked="0"/>
    </xf>
    <xf numFmtId="44" fontId="7" fillId="0" borderId="16" xfId="4" applyFont="1" applyFill="1" applyBorder="1" applyAlignment="1" applyProtection="1">
      <alignment horizontal="right" vertical="center"/>
      <protection locked="0"/>
    </xf>
    <xf numFmtId="44" fontId="7" fillId="0" borderId="17" xfId="4" applyFont="1" applyFill="1" applyBorder="1" applyAlignment="1" applyProtection="1">
      <alignment horizontal="right" vertical="center"/>
      <protection locked="0"/>
    </xf>
    <xf numFmtId="44" fontId="7" fillId="0" borderId="18" xfId="4" applyFont="1" applyFill="1" applyBorder="1" applyAlignment="1" applyProtection="1">
      <alignment horizontal="right" vertical="center"/>
      <protection locked="0"/>
    </xf>
    <xf numFmtId="44" fontId="7" fillId="0" borderId="7" xfId="4" applyFont="1" applyFill="1" applyBorder="1" applyAlignment="1" applyProtection="1">
      <alignment horizontal="right" vertical="center"/>
      <protection locked="0"/>
    </xf>
    <xf numFmtId="44" fontId="21" fillId="0" borderId="17" xfId="4" applyFont="1" applyFill="1" applyBorder="1" applyAlignment="1" applyProtection="1">
      <alignment horizontal="right" vertical="center"/>
      <protection locked="0"/>
    </xf>
    <xf numFmtId="0" fontId="3" fillId="0" borderId="4" xfId="0" applyFont="1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vertical="center"/>
    </xf>
    <xf numFmtId="0" fontId="0" fillId="0" borderId="19" xfId="0" applyFill="1" applyBorder="1" applyAlignment="1" applyProtection="1">
      <alignment vertical="center"/>
    </xf>
    <xf numFmtId="44" fontId="4" fillId="0" borderId="0" xfId="4" applyFont="1" applyFill="1" applyBorder="1" applyAlignment="1" applyProtection="1">
      <alignment horizontal="right" vertical="center"/>
      <protection locked="0"/>
    </xf>
    <xf numFmtId="0" fontId="7" fillId="0" borderId="8" xfId="0" applyFont="1" applyFill="1" applyBorder="1" applyAlignment="1" applyProtection="1">
      <alignment horizontal="center" vertical="center"/>
      <protection locked="0"/>
    </xf>
    <xf numFmtId="44" fontId="7" fillId="0" borderId="8" xfId="4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13" xfId="0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1" fontId="4" fillId="0" borderId="0" xfId="2" applyNumberFormat="1" applyFont="1" applyFill="1" applyBorder="1" applyAlignment="1" applyProtection="1">
      <alignment horizontal="right" vertical="center"/>
    </xf>
    <xf numFmtId="2" fontId="4" fillId="0" borderId="0" xfId="2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165" fontId="4" fillId="0" borderId="0" xfId="0" applyNumberFormat="1" applyFont="1" applyFill="1" applyBorder="1" applyAlignment="1" applyProtection="1">
      <alignment horizontal="right" vertical="center"/>
      <protection locked="0"/>
    </xf>
    <xf numFmtId="165" fontId="4" fillId="0" borderId="0" xfId="2" applyNumberFormat="1" applyFont="1" applyFill="1" applyBorder="1" applyAlignment="1" applyProtection="1">
      <alignment horizontal="right" vertical="center"/>
    </xf>
    <xf numFmtId="165" fontId="4" fillId="0" borderId="0" xfId="2" applyNumberFormat="1" applyFont="1" applyFill="1" applyBorder="1" applyAlignment="1" applyProtection="1">
      <alignment horizontal="right" vertical="center"/>
      <protection locked="0"/>
    </xf>
    <xf numFmtId="10" fontId="4" fillId="0" borderId="0" xfId="3" applyNumberFormat="1" applyFont="1" applyFill="1" applyBorder="1" applyAlignment="1" applyProtection="1">
      <alignment horizontal="right" vertical="center"/>
    </xf>
    <xf numFmtId="44" fontId="0" fillId="0" borderId="0" xfId="0" applyNumberFormat="1" applyFill="1" applyAlignment="1" applyProtection="1">
      <alignment vertical="center"/>
    </xf>
    <xf numFmtId="165" fontId="7" fillId="0" borderId="0" xfId="2" applyNumberFormat="1" applyFont="1" applyFill="1" applyBorder="1" applyAlignment="1" applyProtection="1">
      <alignment horizontal="left" vertical="center"/>
    </xf>
    <xf numFmtId="165" fontId="4" fillId="0" borderId="0" xfId="2" applyNumberFormat="1" applyFont="1" applyFill="1" applyBorder="1" applyAlignment="1" applyProtection="1">
      <alignment vertical="center"/>
    </xf>
    <xf numFmtId="44" fontId="0" fillId="0" borderId="0" xfId="4" applyFont="1" applyFill="1" applyBorder="1" applyAlignment="1" applyProtection="1">
      <alignment vertical="center"/>
    </xf>
    <xf numFmtId="165" fontId="0" fillId="0" borderId="0" xfId="0" applyNumberFormat="1" applyFill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horizontal="center" vertical="center"/>
    </xf>
    <xf numFmtId="44" fontId="19" fillId="0" borderId="0" xfId="0" applyNumberFormat="1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center" vertical="center"/>
    </xf>
    <xf numFmtId="44" fontId="19" fillId="0" borderId="0" xfId="0" applyNumberFormat="1" applyFont="1" applyFill="1" applyBorder="1" applyAlignment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44" fontId="19" fillId="0" borderId="0" xfId="4" applyFont="1" applyFill="1" applyBorder="1" applyAlignment="1" applyProtection="1">
      <alignment horizontal="center" vertical="center"/>
    </xf>
    <xf numFmtId="0" fontId="22" fillId="0" borderId="0" xfId="0" applyFont="1" applyFill="1" applyAlignment="1" applyProtection="1">
      <alignment vertical="center"/>
    </xf>
    <xf numFmtId="44" fontId="0" fillId="0" borderId="0" xfId="0" applyNumberForma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right" vertical="center"/>
    </xf>
    <xf numFmtId="44" fontId="2" fillId="0" borderId="0" xfId="4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1" fontId="2" fillId="0" borderId="0" xfId="2" applyNumberFormat="1" applyFont="1" applyFill="1" applyBorder="1" applyAlignment="1" applyProtection="1">
      <alignment horizontal="right" vertical="center"/>
    </xf>
    <xf numFmtId="165" fontId="7" fillId="0" borderId="0" xfId="2" applyNumberFormat="1" applyFont="1" applyFill="1" applyBorder="1" applyAlignment="1" applyProtection="1">
      <alignment horizontal="right" vertical="center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</xf>
    <xf numFmtId="44" fontId="34" fillId="0" borderId="17" xfId="0" applyNumberFormat="1" applyFont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25" xfId="0" applyFont="1" applyFill="1" applyBorder="1" applyAlignment="1" applyProtection="1">
      <alignment horizontal="center" vertical="center"/>
      <protection locked="0"/>
    </xf>
    <xf numFmtId="0" fontId="25" fillId="10" borderId="9" xfId="0" applyFont="1" applyFill="1" applyBorder="1" applyAlignment="1" applyProtection="1">
      <alignment horizontal="left" vertical="center"/>
      <protection locked="0"/>
    </xf>
    <xf numFmtId="0" fontId="20" fillId="10" borderId="8" xfId="0" applyFont="1" applyFill="1" applyBorder="1" applyAlignment="1">
      <alignment horizontal="center"/>
    </xf>
    <xf numFmtId="0" fontId="13" fillId="10" borderId="8" xfId="0" applyFont="1" applyFill="1" applyBorder="1" applyAlignment="1" applyProtection="1">
      <alignment horizontal="center"/>
      <protection locked="0"/>
    </xf>
    <xf numFmtId="44" fontId="20" fillId="10" borderId="8" xfId="4" applyFont="1" applyFill="1" applyBorder="1" applyAlignment="1" applyProtection="1">
      <alignment horizontal="right"/>
      <protection locked="0"/>
    </xf>
    <xf numFmtId="166" fontId="20" fillId="10" borderId="8" xfId="4" applyNumberFormat="1" applyFont="1" applyFill="1" applyBorder="1" applyAlignment="1" applyProtection="1">
      <alignment horizontal="right"/>
    </xf>
    <xf numFmtId="44" fontId="20" fillId="10" borderId="8" xfId="4" applyFont="1" applyFill="1" applyBorder="1" applyAlignment="1" applyProtection="1">
      <alignment horizontal="right"/>
    </xf>
    <xf numFmtId="44" fontId="20" fillId="10" borderId="0" xfId="4" applyFont="1" applyFill="1" applyBorder="1" applyAlignment="1" applyProtection="1">
      <alignment horizontal="right"/>
    </xf>
    <xf numFmtId="44" fontId="1" fillId="10" borderId="8" xfId="4" applyFont="1" applyFill="1" applyBorder="1" applyAlignment="1" applyProtection="1">
      <alignment horizontal="right"/>
    </xf>
    <xf numFmtId="44" fontId="1" fillId="10" borderId="0" xfId="4" applyFont="1" applyFill="1" applyBorder="1" applyAlignment="1" applyProtection="1">
      <alignment horizontal="right"/>
    </xf>
    <xf numFmtId="44" fontId="13" fillId="10" borderId="8" xfId="4" applyFont="1" applyFill="1" applyBorder="1" applyAlignment="1" applyProtection="1">
      <alignment horizontal="center"/>
    </xf>
    <xf numFmtId="44" fontId="13" fillId="10" borderId="8" xfId="4" applyFont="1" applyFill="1" applyBorder="1" applyAlignment="1" applyProtection="1">
      <alignment horizontal="right"/>
    </xf>
    <xf numFmtId="44" fontId="13" fillId="10" borderId="22" xfId="4" applyFont="1" applyFill="1" applyBorder="1" applyAlignment="1" applyProtection="1">
      <alignment horizontal="right"/>
    </xf>
    <xf numFmtId="44" fontId="24" fillId="10" borderId="4" xfId="4" applyFont="1" applyFill="1" applyBorder="1" applyAlignment="1" applyProtection="1">
      <alignment horizontal="right"/>
    </xf>
    <xf numFmtId="44" fontId="13" fillId="10" borderId="23" xfId="4" applyFont="1" applyFill="1" applyBorder="1" applyAlignment="1" applyProtection="1">
      <alignment horizontal="right" vertical="center"/>
    </xf>
    <xf numFmtId="44" fontId="13" fillId="10" borderId="4" xfId="4" applyFont="1" applyFill="1" applyBorder="1" applyAlignment="1" applyProtection="1">
      <alignment horizontal="right" vertical="center"/>
    </xf>
    <xf numFmtId="44" fontId="24" fillId="10" borderId="0" xfId="4" applyFont="1" applyFill="1" applyBorder="1" applyAlignment="1" applyProtection="1">
      <alignment horizontal="right" vertical="center"/>
    </xf>
    <xf numFmtId="166" fontId="13" fillId="10" borderId="4" xfId="0" applyNumberFormat="1" applyFont="1" applyFill="1" applyBorder="1" applyAlignment="1">
      <alignment horizontal="center" vertical="center"/>
    </xf>
    <xf numFmtId="44" fontId="13" fillId="10" borderId="0" xfId="0" applyNumberFormat="1" applyFont="1" applyFill="1" applyAlignment="1">
      <alignment horizontal="center"/>
    </xf>
    <xf numFmtId="44" fontId="13" fillId="10" borderId="4" xfId="4" applyFont="1" applyFill="1" applyBorder="1" applyAlignment="1" applyProtection="1">
      <alignment horizontal="right"/>
    </xf>
    <xf numFmtId="44" fontId="34" fillId="10" borderId="17" xfId="0" applyNumberFormat="1" applyFont="1" applyFill="1" applyBorder="1" applyAlignment="1">
      <alignment horizontal="center" vertical="center"/>
    </xf>
    <xf numFmtId="0" fontId="0" fillId="10" borderId="0" xfId="0" applyFill="1"/>
    <xf numFmtId="44" fontId="0" fillId="10" borderId="0" xfId="0" applyNumberFormat="1" applyFill="1"/>
    <xf numFmtId="0" fontId="13" fillId="10" borderId="0" xfId="0" applyFont="1" applyFill="1" applyProtection="1"/>
    <xf numFmtId="0" fontId="13" fillId="10" borderId="0" xfId="0" applyFont="1" applyFill="1" applyAlignment="1">
      <alignment horizontal="center"/>
    </xf>
    <xf numFmtId="0" fontId="13" fillId="10" borderId="8" xfId="0" applyFont="1" applyFill="1" applyBorder="1" applyAlignment="1" applyProtection="1">
      <alignment horizontal="center" wrapText="1"/>
      <protection locked="0"/>
    </xf>
    <xf numFmtId="0" fontId="20" fillId="7" borderId="8" xfId="0" applyFont="1" applyFill="1" applyBorder="1" applyAlignment="1">
      <alignment horizontal="center"/>
    </xf>
    <xf numFmtId="0" fontId="25" fillId="7" borderId="9" xfId="0" applyFont="1" applyFill="1" applyBorder="1" applyAlignment="1" applyProtection="1">
      <alignment horizontal="left" vertical="center"/>
      <protection locked="0"/>
    </xf>
    <xf numFmtId="0" fontId="13" fillId="7" borderId="8" xfId="0" applyFont="1" applyFill="1" applyBorder="1" applyAlignment="1" applyProtection="1">
      <alignment horizontal="center"/>
      <protection locked="0"/>
    </xf>
    <xf numFmtId="44" fontId="20" fillId="7" borderId="8" xfId="4" applyFont="1" applyFill="1" applyBorder="1" applyAlignment="1" applyProtection="1">
      <alignment horizontal="right"/>
      <protection locked="0"/>
    </xf>
    <xf numFmtId="166" fontId="20" fillId="7" borderId="8" xfId="4" applyNumberFormat="1" applyFont="1" applyFill="1" applyBorder="1" applyAlignment="1" applyProtection="1">
      <alignment horizontal="right"/>
    </xf>
    <xf numFmtId="44" fontId="20" fillId="7" borderId="8" xfId="4" applyFont="1" applyFill="1" applyBorder="1" applyAlignment="1" applyProtection="1">
      <alignment horizontal="right"/>
    </xf>
    <xf numFmtId="44" fontId="20" fillId="7" borderId="0" xfId="4" applyFont="1" applyFill="1" applyBorder="1" applyAlignment="1" applyProtection="1">
      <alignment horizontal="right"/>
    </xf>
    <xf numFmtId="44" fontId="1" fillId="7" borderId="8" xfId="4" applyFont="1" applyFill="1" applyBorder="1" applyAlignment="1" applyProtection="1">
      <alignment horizontal="right"/>
    </xf>
    <xf numFmtId="44" fontId="1" fillId="7" borderId="0" xfId="4" applyFont="1" applyFill="1" applyBorder="1" applyAlignment="1" applyProtection="1">
      <alignment horizontal="right"/>
    </xf>
    <xf numFmtId="44" fontId="13" fillId="7" borderId="8" xfId="4" applyFont="1" applyFill="1" applyBorder="1" applyAlignment="1" applyProtection="1">
      <alignment horizontal="center"/>
    </xf>
    <xf numFmtId="44" fontId="13" fillId="7" borderId="8" xfId="4" applyFont="1" applyFill="1" applyBorder="1" applyAlignment="1" applyProtection="1">
      <alignment horizontal="right"/>
    </xf>
    <xf numFmtId="44" fontId="13" fillId="7" borderId="22" xfId="4" applyFont="1" applyFill="1" applyBorder="1" applyAlignment="1" applyProtection="1">
      <alignment horizontal="right"/>
    </xf>
    <xf numFmtId="44" fontId="24" fillId="7" borderId="4" xfId="4" applyFont="1" applyFill="1" applyBorder="1" applyAlignment="1" applyProtection="1">
      <alignment horizontal="right"/>
    </xf>
    <xf numFmtId="44" fontId="13" fillId="7" borderId="4" xfId="4" applyFont="1" applyFill="1" applyBorder="1" applyAlignment="1" applyProtection="1">
      <alignment horizontal="right" vertical="center"/>
    </xf>
    <xf numFmtId="44" fontId="24" fillId="7" borderId="0" xfId="4" applyFont="1" applyFill="1" applyBorder="1" applyAlignment="1" applyProtection="1">
      <alignment horizontal="right" vertical="center"/>
    </xf>
    <xf numFmtId="166" fontId="13" fillId="7" borderId="4" xfId="0" applyNumberFormat="1" applyFont="1" applyFill="1" applyBorder="1" applyAlignment="1">
      <alignment horizontal="center" vertical="center"/>
    </xf>
    <xf numFmtId="0" fontId="13" fillId="7" borderId="0" xfId="0" applyFont="1" applyFill="1" applyAlignment="1">
      <alignment horizontal="center"/>
    </xf>
    <xf numFmtId="0" fontId="0" fillId="7" borderId="0" xfId="0" applyFill="1"/>
    <xf numFmtId="44" fontId="0" fillId="7" borderId="0" xfId="0" applyNumberFormat="1" applyFill="1"/>
    <xf numFmtId="0" fontId="25" fillId="7" borderId="24" xfId="0" applyFont="1" applyFill="1" applyBorder="1" applyAlignment="1" applyProtection="1">
      <alignment horizontal="left" vertical="center"/>
      <protection locked="0"/>
    </xf>
    <xf numFmtId="0" fontId="13" fillId="7" borderId="8" xfId="0" applyFont="1" applyFill="1" applyBorder="1" applyAlignment="1" applyProtection="1">
      <alignment horizontal="center" wrapText="1"/>
      <protection locked="0"/>
    </xf>
    <xf numFmtId="0" fontId="13" fillId="7" borderId="0" xfId="0" applyFont="1" applyFill="1" applyAlignment="1">
      <alignment horizontal="center" vertical="center"/>
    </xf>
    <xf numFmtId="0" fontId="20" fillId="11" borderId="8" xfId="0" applyFont="1" applyFill="1" applyBorder="1" applyAlignment="1">
      <alignment horizontal="center"/>
    </xf>
    <xf numFmtId="0" fontId="25" fillId="11" borderId="9" xfId="0" applyFont="1" applyFill="1" applyBorder="1" applyAlignment="1" applyProtection="1">
      <alignment horizontal="left" vertical="center"/>
      <protection locked="0"/>
    </xf>
    <xf numFmtId="0" fontId="13" fillId="11" borderId="8" xfId="0" applyFont="1" applyFill="1" applyBorder="1" applyAlignment="1" applyProtection="1">
      <alignment horizontal="center" vertical="center" wrapText="1"/>
      <protection locked="0"/>
    </xf>
    <xf numFmtId="44" fontId="20" fillId="11" borderId="8" xfId="4" applyFont="1" applyFill="1" applyBorder="1" applyAlignment="1" applyProtection="1">
      <alignment horizontal="right"/>
      <protection locked="0"/>
    </xf>
    <xf numFmtId="166" fontId="20" fillId="11" borderId="8" xfId="4" applyNumberFormat="1" applyFont="1" applyFill="1" applyBorder="1" applyAlignment="1" applyProtection="1">
      <alignment horizontal="right"/>
    </xf>
    <xf numFmtId="44" fontId="20" fillId="11" borderId="8" xfId="4" applyFont="1" applyFill="1" applyBorder="1" applyAlignment="1" applyProtection="1">
      <alignment horizontal="right"/>
    </xf>
    <xf numFmtId="44" fontId="20" fillId="11" borderId="0" xfId="4" applyFont="1" applyFill="1" applyBorder="1" applyAlignment="1" applyProtection="1">
      <alignment horizontal="right"/>
    </xf>
    <xf numFmtId="44" fontId="1" fillId="11" borderId="8" xfId="4" applyFont="1" applyFill="1" applyBorder="1" applyAlignment="1" applyProtection="1">
      <alignment horizontal="right"/>
    </xf>
    <xf numFmtId="44" fontId="1" fillId="11" borderId="0" xfId="4" applyFont="1" applyFill="1" applyBorder="1" applyAlignment="1" applyProtection="1">
      <alignment horizontal="right"/>
    </xf>
    <xf numFmtId="44" fontId="13" fillId="11" borderId="8" xfId="4" applyFont="1" applyFill="1" applyBorder="1" applyAlignment="1" applyProtection="1">
      <alignment horizontal="center"/>
    </xf>
    <xf numFmtId="44" fontId="13" fillId="11" borderId="8" xfId="4" applyFont="1" applyFill="1" applyBorder="1" applyAlignment="1" applyProtection="1">
      <alignment horizontal="right"/>
    </xf>
    <xf numFmtId="44" fontId="13" fillId="11" borderId="22" xfId="4" applyFont="1" applyFill="1" applyBorder="1" applyAlignment="1" applyProtection="1">
      <alignment horizontal="right"/>
    </xf>
    <xf numFmtId="44" fontId="24" fillId="11" borderId="4" xfId="4" applyFont="1" applyFill="1" applyBorder="1" applyAlignment="1" applyProtection="1">
      <alignment horizontal="right"/>
    </xf>
    <xf numFmtId="44" fontId="13" fillId="11" borderId="23" xfId="4" applyFont="1" applyFill="1" applyBorder="1" applyAlignment="1" applyProtection="1">
      <alignment horizontal="right" vertical="center"/>
    </xf>
    <xf numFmtId="44" fontId="13" fillId="11" borderId="4" xfId="4" applyFont="1" applyFill="1" applyBorder="1" applyAlignment="1" applyProtection="1">
      <alignment horizontal="right" vertical="center"/>
    </xf>
    <xf numFmtId="44" fontId="24" fillId="11" borderId="0" xfId="4" applyFont="1" applyFill="1" applyBorder="1" applyAlignment="1" applyProtection="1">
      <alignment horizontal="right" vertical="center"/>
    </xf>
    <xf numFmtId="166" fontId="13" fillId="11" borderId="4" xfId="0" applyNumberFormat="1" applyFont="1" applyFill="1" applyBorder="1" applyAlignment="1">
      <alignment horizontal="center" vertical="center"/>
    </xf>
    <xf numFmtId="0" fontId="13" fillId="11" borderId="0" xfId="0" applyFont="1" applyFill="1" applyAlignment="1">
      <alignment horizontal="center"/>
    </xf>
    <xf numFmtId="44" fontId="13" fillId="11" borderId="4" xfId="4" applyFont="1" applyFill="1" applyBorder="1" applyAlignment="1" applyProtection="1">
      <alignment horizontal="right"/>
    </xf>
    <xf numFmtId="0" fontId="0" fillId="11" borderId="0" xfId="0" applyFill="1"/>
    <xf numFmtId="0" fontId="20" fillId="12" borderId="8" xfId="0" applyFont="1" applyFill="1" applyBorder="1" applyAlignment="1" applyProtection="1">
      <alignment horizontal="center"/>
    </xf>
    <xf numFmtId="0" fontId="25" fillId="12" borderId="9" xfId="0" applyFont="1" applyFill="1" applyBorder="1" applyAlignment="1" applyProtection="1">
      <alignment horizontal="left" vertical="center"/>
      <protection locked="0"/>
    </xf>
    <xf numFmtId="0" fontId="13" fillId="12" borderId="8" xfId="0" applyFont="1" applyFill="1" applyBorder="1" applyAlignment="1" applyProtection="1">
      <alignment horizontal="center" vertical="center" wrapText="1"/>
      <protection locked="0"/>
    </xf>
    <xf numFmtId="44" fontId="20" fillId="12" borderId="8" xfId="4" applyFont="1" applyFill="1" applyBorder="1" applyAlignment="1" applyProtection="1">
      <alignment horizontal="right"/>
      <protection locked="0"/>
    </xf>
    <xf numFmtId="166" fontId="20" fillId="12" borderId="8" xfId="4" applyNumberFormat="1" applyFont="1" applyFill="1" applyBorder="1" applyAlignment="1" applyProtection="1">
      <alignment horizontal="right"/>
    </xf>
    <xf numFmtId="44" fontId="20" fillId="12" borderId="8" xfId="4" applyFont="1" applyFill="1" applyBorder="1" applyAlignment="1" applyProtection="1">
      <alignment horizontal="right"/>
    </xf>
    <xf numFmtId="44" fontId="20" fillId="12" borderId="0" xfId="4" applyFont="1" applyFill="1" applyBorder="1" applyAlignment="1" applyProtection="1">
      <alignment horizontal="right"/>
    </xf>
    <xf numFmtId="44" fontId="1" fillId="12" borderId="8" xfId="4" applyFont="1" applyFill="1" applyBorder="1" applyAlignment="1" applyProtection="1">
      <alignment horizontal="right"/>
    </xf>
    <xf numFmtId="44" fontId="1" fillId="12" borderId="0" xfId="4" applyFont="1" applyFill="1" applyBorder="1" applyAlignment="1" applyProtection="1">
      <alignment horizontal="right"/>
    </xf>
    <xf numFmtId="44" fontId="13" fillId="12" borderId="8" xfId="4" applyFont="1" applyFill="1" applyBorder="1" applyAlignment="1" applyProtection="1">
      <alignment horizontal="center"/>
    </xf>
    <xf numFmtId="44" fontId="13" fillId="12" borderId="8" xfId="4" applyFont="1" applyFill="1" applyBorder="1" applyAlignment="1" applyProtection="1">
      <alignment horizontal="right"/>
    </xf>
    <xf numFmtId="44" fontId="13" fillId="12" borderId="22" xfId="4" applyFont="1" applyFill="1" applyBorder="1" applyAlignment="1" applyProtection="1">
      <alignment horizontal="right"/>
    </xf>
    <xf numFmtId="44" fontId="24" fillId="12" borderId="4" xfId="4" applyFont="1" applyFill="1" applyBorder="1" applyAlignment="1" applyProtection="1">
      <alignment horizontal="right"/>
    </xf>
    <xf numFmtId="44" fontId="13" fillId="12" borderId="23" xfId="4" applyFont="1" applyFill="1" applyBorder="1" applyAlignment="1" applyProtection="1">
      <alignment horizontal="right" vertical="center"/>
    </xf>
    <xf numFmtId="44" fontId="13" fillId="12" borderId="4" xfId="4" applyFont="1" applyFill="1" applyBorder="1" applyAlignment="1" applyProtection="1">
      <alignment horizontal="right" vertical="center"/>
    </xf>
    <xf numFmtId="44" fontId="24" fillId="12" borderId="0" xfId="4" applyFont="1" applyFill="1" applyBorder="1" applyAlignment="1" applyProtection="1">
      <alignment horizontal="right" vertical="center"/>
    </xf>
    <xf numFmtId="166" fontId="13" fillId="12" borderId="4" xfId="0" applyNumberFormat="1" applyFont="1" applyFill="1" applyBorder="1" applyAlignment="1">
      <alignment horizontal="center" vertical="center"/>
    </xf>
    <xf numFmtId="0" fontId="13" fillId="12" borderId="0" xfId="0" applyFont="1" applyFill="1" applyAlignment="1">
      <alignment horizontal="center"/>
    </xf>
    <xf numFmtId="44" fontId="13" fillId="12" borderId="4" xfId="4" applyFont="1" applyFill="1" applyBorder="1" applyAlignment="1" applyProtection="1">
      <alignment horizontal="right"/>
    </xf>
    <xf numFmtId="0" fontId="0" fillId="12" borderId="0" xfId="0" applyFill="1"/>
    <xf numFmtId="0" fontId="13" fillId="12" borderId="8" xfId="0" applyFont="1" applyFill="1" applyBorder="1" applyAlignment="1" applyProtection="1">
      <alignment horizontal="center" wrapText="1"/>
      <protection locked="0"/>
    </xf>
    <xf numFmtId="0" fontId="13" fillId="12" borderId="0" xfId="0" applyFont="1" applyFill="1" applyAlignment="1">
      <alignment horizontal="center" vertical="center"/>
    </xf>
    <xf numFmtId="0" fontId="13" fillId="12" borderId="8" xfId="0" applyFont="1" applyFill="1" applyBorder="1" applyAlignment="1" applyProtection="1">
      <alignment horizont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44" fontId="7" fillId="0" borderId="14" xfId="4" applyFont="1" applyFill="1" applyBorder="1" applyAlignment="1" applyProtection="1">
      <alignment horizontal="right" vertical="center"/>
      <protection locked="0"/>
    </xf>
    <xf numFmtId="44" fontId="7" fillId="0" borderId="15" xfId="4" applyFont="1" applyFill="1" applyBorder="1" applyAlignment="1" applyProtection="1">
      <alignment horizontal="right" vertical="center"/>
      <protection locked="0"/>
    </xf>
    <xf numFmtId="44" fontId="7" fillId="0" borderId="2" xfId="4" applyFont="1" applyFill="1" applyBorder="1" applyAlignment="1" applyProtection="1">
      <alignment horizontal="right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  <protection locked="0"/>
    </xf>
    <xf numFmtId="44" fontId="4" fillId="0" borderId="4" xfId="4" applyFont="1" applyBorder="1" applyAlignment="1" applyProtection="1">
      <alignment horizontal="right" vertical="center"/>
      <protection locked="0"/>
    </xf>
    <xf numFmtId="44" fontId="4" fillId="0" borderId="4" xfId="4" applyFont="1" applyFill="1" applyBorder="1" applyAlignment="1" applyProtection="1">
      <alignment horizontal="right" vertical="center"/>
    </xf>
    <xf numFmtId="44" fontId="4" fillId="0" borderId="4" xfId="4" applyFont="1" applyBorder="1" applyAlignment="1" applyProtection="1">
      <alignment horizontal="right" vertical="center"/>
    </xf>
    <xf numFmtId="44" fontId="4" fillId="2" borderId="4" xfId="4" applyFont="1" applyFill="1" applyBorder="1" applyAlignment="1" applyProtection="1">
      <alignment horizontal="right" vertical="center"/>
    </xf>
    <xf numFmtId="44" fontId="36" fillId="0" borderId="4" xfId="0" applyNumberFormat="1" applyFont="1" applyBorder="1" applyAlignment="1">
      <alignment horizontal="center" vertical="center"/>
    </xf>
    <xf numFmtId="44" fontId="4" fillId="0" borderId="4" xfId="4" applyFont="1" applyFill="1" applyBorder="1" applyAlignment="1" applyProtection="1">
      <alignment horizontal="center" vertical="center"/>
      <protection locked="0"/>
    </xf>
    <xf numFmtId="44" fontId="4" fillId="0" borderId="4" xfId="4" applyNumberFormat="1" applyFont="1" applyFill="1" applyBorder="1" applyAlignment="1" applyProtection="1">
      <alignment horizontal="center" vertical="center"/>
    </xf>
    <xf numFmtId="44" fontId="4" fillId="0" borderId="4" xfId="4" applyFont="1" applyFill="1" applyBorder="1" applyAlignment="1" applyProtection="1">
      <alignment horizontal="center" vertical="center"/>
    </xf>
    <xf numFmtId="44" fontId="21" fillId="0" borderId="19" xfId="4" applyFont="1" applyFill="1" applyBorder="1" applyAlignment="1" applyProtection="1">
      <alignment horizontal="right" vertical="center"/>
      <protection locked="0"/>
    </xf>
    <xf numFmtId="44" fontId="21" fillId="0" borderId="0" xfId="4" applyFont="1" applyFill="1" applyBorder="1" applyAlignment="1" applyProtection="1">
      <alignment horizontal="right" vertical="center"/>
      <protection locked="0"/>
    </xf>
    <xf numFmtId="0" fontId="21" fillId="0" borderId="3" xfId="0" applyFont="1" applyBorder="1" applyAlignment="1" applyProtection="1">
      <alignment horizontal="center"/>
    </xf>
    <xf numFmtId="0" fontId="21" fillId="0" borderId="1" xfId="0" applyFont="1" applyBorder="1" applyAlignment="1" applyProtection="1">
      <alignment horizontal="center"/>
    </xf>
    <xf numFmtId="0" fontId="4" fillId="0" borderId="4" xfId="0" applyFont="1" applyFill="1" applyBorder="1" applyAlignment="1" applyProtection="1">
      <alignment horizontal="left" vertical="center"/>
      <protection locked="0"/>
    </xf>
    <xf numFmtId="0" fontId="4" fillId="0" borderId="4" xfId="0" applyFont="1" applyFill="1" applyBorder="1" applyAlignment="1" applyProtection="1">
      <alignment horizontal="left" vertical="center" wrapText="1"/>
      <protection locked="0"/>
    </xf>
    <xf numFmtId="0" fontId="37" fillId="0" borderId="4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</xf>
    <xf numFmtId="0" fontId="40" fillId="0" borderId="1" xfId="0" applyFont="1" applyFill="1" applyBorder="1" applyAlignment="1" applyProtection="1">
      <alignment horizontal="center" vertical="center"/>
    </xf>
    <xf numFmtId="0" fontId="0" fillId="0" borderId="4" xfId="0" applyFill="1" applyBorder="1" applyAlignment="1" applyProtection="1">
      <alignment horizontal="center" vertical="center"/>
    </xf>
    <xf numFmtId="44" fontId="4" fillId="0" borderId="0" xfId="0" applyNumberFormat="1" applyFont="1" applyFill="1" applyBorder="1" applyAlignment="1" applyProtection="1">
      <alignment horizontal="center" vertical="center"/>
    </xf>
    <xf numFmtId="0" fontId="0" fillId="3" borderId="0" xfId="0" applyFill="1" applyAlignment="1" applyProtection="1">
      <alignment vertical="center"/>
    </xf>
    <xf numFmtId="0" fontId="0" fillId="3" borderId="13" xfId="0" applyFill="1" applyBorder="1" applyAlignment="1" applyProtection="1">
      <alignment vertical="center"/>
    </xf>
    <xf numFmtId="0" fontId="0" fillId="0" borderId="22" xfId="0" applyFill="1" applyBorder="1" applyAlignment="1" applyProtection="1">
      <alignment horizontal="center" vertical="center"/>
    </xf>
    <xf numFmtId="0" fontId="0" fillId="9" borderId="0" xfId="0" applyFill="1" applyAlignment="1" applyProtection="1">
      <alignment vertical="center"/>
    </xf>
    <xf numFmtId="0" fontId="0" fillId="0" borderId="12" xfId="0" applyFill="1" applyBorder="1" applyAlignment="1" applyProtection="1">
      <alignment horizontal="center" vertical="center"/>
    </xf>
    <xf numFmtId="165" fontId="4" fillId="0" borderId="1" xfId="0" applyNumberFormat="1" applyFont="1" applyFill="1" applyBorder="1" applyAlignment="1" applyProtection="1">
      <alignment horizontal="right" vertical="center"/>
      <protection locked="0"/>
    </xf>
    <xf numFmtId="0" fontId="2" fillId="0" borderId="27" xfId="0" applyFont="1" applyBorder="1" applyAlignment="1" applyProtection="1">
      <alignment horizontal="center"/>
    </xf>
    <xf numFmtId="0" fontId="3" fillId="0" borderId="31" xfId="0" applyFont="1" applyBorder="1" applyAlignment="1" applyProtection="1">
      <alignment horizontal="center"/>
    </xf>
    <xf numFmtId="0" fontId="3" fillId="2" borderId="27" xfId="0" applyFont="1" applyFill="1" applyBorder="1" applyAlignment="1" applyProtection="1">
      <alignment horizontal="center"/>
    </xf>
    <xf numFmtId="0" fontId="3" fillId="2" borderId="32" xfId="0" applyFont="1" applyFill="1" applyBorder="1" applyAlignment="1" applyProtection="1">
      <alignment horizontal="center"/>
    </xf>
    <xf numFmtId="0" fontId="3" fillId="0" borderId="31" xfId="0" applyFont="1" applyFill="1" applyBorder="1" applyAlignment="1" applyProtection="1">
      <alignment horizontal="center"/>
    </xf>
    <xf numFmtId="0" fontId="21" fillId="0" borderId="27" xfId="0" applyFont="1" applyBorder="1" applyAlignment="1" applyProtection="1">
      <alignment horizontal="center"/>
    </xf>
    <xf numFmtId="0" fontId="0" fillId="0" borderId="5" xfId="0" applyBorder="1" applyProtection="1"/>
    <xf numFmtId="0" fontId="4" fillId="0" borderId="37" xfId="0" applyFont="1" applyBorder="1" applyAlignment="1" applyProtection="1">
      <alignment horizontal="center" vertical="center"/>
    </xf>
    <xf numFmtId="0" fontId="0" fillId="0" borderId="5" xfId="0" applyBorder="1" applyAlignment="1" applyProtection="1">
      <alignment vertical="center"/>
    </xf>
    <xf numFmtId="0" fontId="4" fillId="0" borderId="37" xfId="0" applyFont="1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center" vertical="center"/>
    </xf>
    <xf numFmtId="0" fontId="4" fillId="0" borderId="38" xfId="0" applyFont="1" applyBorder="1" applyAlignment="1" applyProtection="1">
      <alignment horizontal="center" vertical="center"/>
    </xf>
    <xf numFmtId="44" fontId="7" fillId="3" borderId="39" xfId="4" applyFont="1" applyFill="1" applyBorder="1" applyAlignment="1" applyProtection="1">
      <alignment horizontal="right" vertical="center"/>
      <protection locked="0"/>
    </xf>
    <xf numFmtId="0" fontId="0" fillId="0" borderId="41" xfId="0" applyBorder="1" applyAlignment="1" applyProtection="1">
      <alignment vertical="center"/>
    </xf>
    <xf numFmtId="0" fontId="0" fillId="0" borderId="42" xfId="0" applyBorder="1" applyAlignment="1" applyProtection="1">
      <alignment vertical="center"/>
    </xf>
    <xf numFmtId="0" fontId="7" fillId="3" borderId="39" xfId="0" applyFont="1" applyFill="1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vertical="center"/>
    </xf>
    <xf numFmtId="0" fontId="0" fillId="0" borderId="36" xfId="0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4" fillId="3" borderId="44" xfId="0" applyFont="1" applyFill="1" applyBorder="1" applyAlignment="1" applyProtection="1">
      <alignment horizontal="center" vertical="center"/>
    </xf>
    <xf numFmtId="0" fontId="0" fillId="3" borderId="41" xfId="0" applyFill="1" applyBorder="1" applyAlignment="1" applyProtection="1">
      <alignment vertical="center"/>
    </xf>
    <xf numFmtId="0" fontId="0" fillId="0" borderId="42" xfId="0" applyFill="1" applyBorder="1" applyAlignment="1" applyProtection="1">
      <alignment vertical="center"/>
    </xf>
    <xf numFmtId="44" fontId="7" fillId="0" borderId="10" xfId="4" applyFont="1" applyFill="1" applyBorder="1" applyAlignment="1" applyProtection="1">
      <alignment horizontal="right" vertical="center"/>
      <protection locked="0"/>
    </xf>
    <xf numFmtId="44" fontId="7" fillId="0" borderId="11" xfId="4" applyFont="1" applyFill="1" applyBorder="1" applyAlignment="1" applyProtection="1">
      <alignment horizontal="right" vertical="center"/>
      <protection locked="0"/>
    </xf>
    <xf numFmtId="0" fontId="0" fillId="0" borderId="34" xfId="0" applyFill="1" applyBorder="1" applyAlignment="1" applyProtection="1">
      <alignment vertical="center"/>
    </xf>
    <xf numFmtId="0" fontId="0" fillId="0" borderId="36" xfId="0" applyFill="1" applyBorder="1" applyAlignment="1" applyProtection="1">
      <alignment vertical="center"/>
    </xf>
    <xf numFmtId="0" fontId="0" fillId="3" borderId="42" xfId="0" applyFill="1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29" fillId="0" borderId="33" xfId="0" applyFont="1" applyFill="1" applyBorder="1" applyAlignment="1" applyProtection="1">
      <alignment horizontal="center"/>
    </xf>
    <xf numFmtId="0" fontId="29" fillId="0" borderId="12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vertical="center"/>
    </xf>
    <xf numFmtId="44" fontId="6" fillId="3" borderId="40" xfId="4" applyFont="1" applyFill="1" applyBorder="1" applyAlignment="1" applyProtection="1">
      <alignment horizontal="right" vertical="center"/>
    </xf>
    <xf numFmtId="0" fontId="3" fillId="0" borderId="43" xfId="0" applyFont="1" applyBorder="1" applyAlignment="1" applyProtection="1">
      <alignment horizontal="center"/>
    </xf>
    <xf numFmtId="0" fontId="21" fillId="0" borderId="45" xfId="0" applyFont="1" applyBorder="1" applyAlignment="1" applyProtection="1">
      <alignment horizontal="center"/>
    </xf>
    <xf numFmtId="0" fontId="3" fillId="0" borderId="41" xfId="0" applyFont="1" applyBorder="1" applyAlignment="1" applyProtection="1">
      <alignment horizontal="center"/>
    </xf>
    <xf numFmtId="0" fontId="3" fillId="2" borderId="45" xfId="0" applyFont="1" applyFill="1" applyBorder="1" applyAlignment="1" applyProtection="1">
      <alignment horizontal="center"/>
    </xf>
    <xf numFmtId="0" fontId="3" fillId="2" borderId="39" xfId="0" applyFont="1" applyFill="1" applyBorder="1" applyAlignment="1" applyProtection="1">
      <alignment horizontal="center"/>
    </xf>
    <xf numFmtId="0" fontId="3" fillId="2" borderId="42" xfId="0" applyFont="1" applyFill="1" applyBorder="1" applyAlignment="1" applyProtection="1">
      <alignment horizontal="center"/>
    </xf>
    <xf numFmtId="0" fontId="3" fillId="0" borderId="49" xfId="0" applyFont="1" applyFill="1" applyBorder="1" applyAlignment="1" applyProtection="1">
      <alignment horizontal="center"/>
    </xf>
    <xf numFmtId="0" fontId="18" fillId="0" borderId="45" xfId="0" applyFont="1" applyBorder="1" applyAlignment="1" applyProtection="1">
      <alignment horizontal="center" wrapText="1"/>
    </xf>
    <xf numFmtId="0" fontId="29" fillId="0" borderId="40" xfId="0" applyFont="1" applyFill="1" applyBorder="1" applyAlignment="1" applyProtection="1">
      <alignment horizontal="center"/>
    </xf>
    <xf numFmtId="0" fontId="1" fillId="0" borderId="4" xfId="0" applyFont="1" applyBorder="1" applyAlignment="1" applyProtection="1">
      <alignment vertical="center"/>
    </xf>
    <xf numFmtId="0" fontId="1" fillId="0" borderId="4" xfId="0" applyFont="1" applyFill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165" fontId="4" fillId="0" borderId="0" xfId="2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13" fillId="0" borderId="4" xfId="0" applyFont="1" applyFill="1" applyBorder="1" applyAlignment="1" applyProtection="1">
      <alignment horizontal="center" vertical="center"/>
    </xf>
    <xf numFmtId="0" fontId="13" fillId="0" borderId="4" xfId="0" applyFont="1" applyFill="1" applyBorder="1" applyAlignment="1" applyProtection="1">
      <alignment vertical="center"/>
    </xf>
    <xf numFmtId="0" fontId="7" fillId="3" borderId="26" xfId="0" applyFont="1" applyFill="1" applyBorder="1" applyAlignment="1" applyProtection="1">
      <alignment horizontal="center" vertical="center"/>
    </xf>
    <xf numFmtId="0" fontId="7" fillId="3" borderId="27" xfId="0" applyFont="1" applyFill="1" applyBorder="1" applyAlignment="1" applyProtection="1">
      <alignment horizontal="center" vertical="center"/>
      <protection locked="0"/>
    </xf>
    <xf numFmtId="165" fontId="7" fillId="3" borderId="27" xfId="0" applyNumberFormat="1" applyFont="1" applyFill="1" applyBorder="1" applyAlignment="1" applyProtection="1">
      <alignment horizontal="right" vertical="center"/>
      <protection locked="0"/>
    </xf>
    <xf numFmtId="44" fontId="6" fillId="3" borderId="27" xfId="0" applyNumberFormat="1" applyFont="1" applyFill="1" applyBorder="1" applyAlignment="1" applyProtection="1">
      <alignment horizontal="right" vertical="center"/>
      <protection locked="0"/>
    </xf>
    <xf numFmtId="0" fontId="2" fillId="3" borderId="33" xfId="0" applyFont="1" applyFill="1" applyBorder="1" applyAlignment="1" applyProtection="1">
      <alignment horizontal="center" vertical="center"/>
    </xf>
    <xf numFmtId="0" fontId="2" fillId="3" borderId="31" xfId="0" applyFont="1" applyFill="1" applyBorder="1" applyAlignment="1" applyProtection="1">
      <alignment vertical="center"/>
    </xf>
    <xf numFmtId="0" fontId="2" fillId="3" borderId="34" xfId="0" applyFont="1" applyFill="1" applyBorder="1" applyAlignment="1" applyProtection="1">
      <alignment vertical="center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  <protection locked="0"/>
    </xf>
    <xf numFmtId="165" fontId="4" fillId="0" borderId="7" xfId="0" applyNumberFormat="1" applyFont="1" applyFill="1" applyBorder="1" applyAlignment="1" applyProtection="1">
      <alignment horizontal="right" vertical="center"/>
      <protection locked="0"/>
    </xf>
    <xf numFmtId="0" fontId="0" fillId="0" borderId="7" xfId="0" applyFill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vertical="center" wrapText="1"/>
    </xf>
    <xf numFmtId="0" fontId="37" fillId="0" borderId="4" xfId="0" applyFont="1" applyFill="1" applyBorder="1" applyAlignment="1" applyProtection="1">
      <alignment horizontal="center" vertical="center" wrapText="1"/>
    </xf>
    <xf numFmtId="0" fontId="0" fillId="3" borderId="4" xfId="0" applyFill="1" applyBorder="1" applyAlignment="1" applyProtection="1">
      <alignment horizontal="center" vertical="center"/>
    </xf>
    <xf numFmtId="44" fontId="1" fillId="0" borderId="4" xfId="4" applyFont="1" applyFill="1" applyBorder="1" applyAlignment="1" applyProtection="1">
      <alignment horizontal="center" vertical="center"/>
      <protection locked="0"/>
    </xf>
    <xf numFmtId="44" fontId="2" fillId="3" borderId="27" xfId="0" applyNumberFormat="1" applyFont="1" applyFill="1" applyBorder="1" applyAlignment="1" applyProtection="1">
      <alignment horizontal="right" vertical="center"/>
      <protection locked="0"/>
    </xf>
    <xf numFmtId="0" fontId="3" fillId="0" borderId="1" xfId="0" applyFont="1" applyFill="1" applyBorder="1" applyAlignment="1" applyProtection="1">
      <alignment horizontal="center"/>
    </xf>
    <xf numFmtId="44" fontId="3" fillId="0" borderId="1" xfId="4" applyFont="1" applyBorder="1" applyAlignment="1" applyProtection="1">
      <alignment horizontal="center"/>
    </xf>
    <xf numFmtId="44" fontId="13" fillId="0" borderId="1" xfId="4" applyFont="1" applyBorder="1" applyAlignment="1" applyProtection="1">
      <alignment horizontal="center"/>
    </xf>
    <xf numFmtId="44" fontId="3" fillId="2" borderId="1" xfId="4" applyFont="1" applyFill="1" applyBorder="1" applyAlignment="1" applyProtection="1">
      <alignment horizontal="center"/>
    </xf>
    <xf numFmtId="44" fontId="3" fillId="0" borderId="1" xfId="4" applyFont="1" applyFill="1" applyBorder="1" applyAlignment="1" applyProtection="1">
      <alignment horizontal="center"/>
    </xf>
    <xf numFmtId="44" fontId="13" fillId="0" borderId="1" xfId="4" applyFont="1" applyFill="1" applyBorder="1" applyAlignment="1" applyProtection="1">
      <alignment horizontal="center"/>
    </xf>
    <xf numFmtId="0" fontId="0" fillId="0" borderId="1" xfId="0" applyBorder="1" applyAlignment="1" applyProtection="1">
      <alignment horizontal="center" vertical="center"/>
    </xf>
    <xf numFmtId="0" fontId="7" fillId="3" borderId="4" xfId="0" applyFont="1" applyFill="1" applyBorder="1" applyAlignment="1" applyProtection="1">
      <alignment horizontal="center" vertical="center"/>
      <protection locked="0"/>
    </xf>
    <xf numFmtId="44" fontId="2" fillId="3" borderId="4" xfId="4" applyFont="1" applyFill="1" applyBorder="1" applyAlignment="1" applyProtection="1">
      <alignment horizontal="right" vertical="center"/>
      <protection locked="0"/>
    </xf>
    <xf numFmtId="0" fontId="4" fillId="0" borderId="4" xfId="0" applyFont="1" applyBorder="1" applyAlignment="1" applyProtection="1">
      <alignment horizontal="center" vertical="center"/>
    </xf>
    <xf numFmtId="0" fontId="38" fillId="0" borderId="4" xfId="0" applyFont="1" applyFill="1" applyBorder="1" applyAlignment="1" applyProtection="1">
      <alignment horizontal="center" vertical="center"/>
    </xf>
    <xf numFmtId="44" fontId="20" fillId="0" borderId="4" xfId="4" applyFont="1" applyFill="1" applyBorder="1" applyAlignment="1" applyProtection="1">
      <alignment horizontal="right" vertical="center"/>
    </xf>
    <xf numFmtId="0" fontId="4" fillId="0" borderId="4" xfId="0" applyFont="1" applyFill="1" applyBorder="1" applyAlignment="1" applyProtection="1">
      <alignment horizontal="center" vertical="center"/>
    </xf>
    <xf numFmtId="44" fontId="4" fillId="0" borderId="4" xfId="4" applyFont="1" applyFill="1" applyBorder="1" applyAlignment="1" applyProtection="1">
      <alignment horizontal="right" vertical="center"/>
      <protection locked="0"/>
    </xf>
    <xf numFmtId="44" fontId="35" fillId="0" borderId="4" xfId="0" applyNumberFormat="1" applyFont="1" applyBorder="1" applyAlignment="1">
      <alignment horizontal="center" vertical="center"/>
    </xf>
    <xf numFmtId="0" fontId="40" fillId="0" borderId="4" xfId="0" applyFont="1" applyFill="1" applyBorder="1" applyAlignment="1" applyProtection="1">
      <alignment horizontal="center" vertical="center"/>
    </xf>
    <xf numFmtId="0" fontId="0" fillId="0" borderId="4" xfId="0" applyFill="1" applyBorder="1" applyAlignment="1" applyProtection="1">
      <alignment vertical="center"/>
    </xf>
    <xf numFmtId="44" fontId="4" fillId="0" borderId="4" xfId="4" applyNumberFormat="1" applyFont="1" applyFill="1" applyBorder="1" applyAlignment="1" applyProtection="1">
      <alignment horizontal="right" vertical="center"/>
    </xf>
    <xf numFmtId="0" fontId="0" fillId="0" borderId="16" xfId="0" applyFill="1" applyBorder="1" applyAlignment="1" applyProtection="1">
      <alignment vertical="center"/>
    </xf>
    <xf numFmtId="0" fontId="0" fillId="0" borderId="18" xfId="0" applyFill="1" applyBorder="1" applyAlignment="1" applyProtection="1">
      <alignment vertical="center"/>
    </xf>
    <xf numFmtId="0" fontId="7" fillId="3" borderId="45" xfId="0" applyFont="1" applyFill="1" applyBorder="1" applyAlignment="1" applyProtection="1">
      <alignment horizontal="center" vertical="center"/>
      <protection locked="0"/>
    </xf>
    <xf numFmtId="44" fontId="7" fillId="3" borderId="45" xfId="4" applyFont="1" applyFill="1" applyBorder="1" applyAlignment="1" applyProtection="1">
      <alignment horizontal="right" vertical="center"/>
      <protection locked="0"/>
    </xf>
    <xf numFmtId="44" fontId="2" fillId="3" borderId="45" xfId="4" applyFont="1" applyFill="1" applyBorder="1" applyAlignment="1" applyProtection="1">
      <alignment horizontal="right" vertical="center"/>
      <protection locked="0"/>
    </xf>
    <xf numFmtId="44" fontId="21" fillId="3" borderId="40" xfId="4" applyFont="1" applyFill="1" applyBorder="1" applyAlignment="1" applyProtection="1">
      <alignment horizontal="right" vertical="center"/>
      <protection locked="0"/>
    </xf>
    <xf numFmtId="0" fontId="0" fillId="3" borderId="2" xfId="0" applyFill="1" applyBorder="1" applyAlignment="1" applyProtection="1">
      <alignment horizontal="center" vertical="center"/>
    </xf>
    <xf numFmtId="0" fontId="38" fillId="0" borderId="4" xfId="0" applyFont="1" applyFill="1" applyBorder="1" applyAlignment="1" applyProtection="1">
      <alignment horizontal="center" vertical="center" wrapText="1"/>
    </xf>
    <xf numFmtId="0" fontId="13" fillId="0" borderId="4" xfId="0" applyFont="1" applyFill="1" applyBorder="1" applyAlignment="1" applyProtection="1">
      <alignment horizontal="center" vertical="center" wrapText="1"/>
      <protection locked="0"/>
    </xf>
    <xf numFmtId="44" fontId="2" fillId="3" borderId="40" xfId="4" applyFont="1" applyFill="1" applyBorder="1" applyAlignment="1" applyProtection="1">
      <alignment horizontal="right" vertical="center"/>
      <protection locked="0"/>
    </xf>
    <xf numFmtId="0" fontId="41" fillId="0" borderId="4" xfId="0" applyFont="1" applyFill="1" applyBorder="1" applyAlignment="1" applyProtection="1">
      <alignment horizontal="center" vertical="center"/>
    </xf>
    <xf numFmtId="44" fontId="1" fillId="0" borderId="4" xfId="4" applyFont="1" applyFill="1" applyBorder="1" applyAlignment="1" applyProtection="1">
      <alignment horizontal="right" vertical="center"/>
    </xf>
    <xf numFmtId="0" fontId="4" fillId="3" borderId="4" xfId="0" applyFont="1" applyFill="1" applyBorder="1" applyAlignment="1" applyProtection="1">
      <alignment horizontal="center" vertical="center"/>
    </xf>
    <xf numFmtId="44" fontId="7" fillId="3" borderId="4" xfId="4" applyFont="1" applyFill="1" applyBorder="1" applyAlignment="1" applyProtection="1">
      <alignment horizontal="right" vertical="center"/>
      <protection locked="0"/>
    </xf>
    <xf numFmtId="0" fontId="39" fillId="0" borderId="4" xfId="0" applyFont="1" applyFill="1" applyBorder="1" applyAlignment="1" applyProtection="1">
      <alignment horizontal="center" vertical="center"/>
    </xf>
    <xf numFmtId="0" fontId="4" fillId="9" borderId="4" xfId="0" applyFont="1" applyFill="1" applyBorder="1" applyAlignment="1" applyProtection="1">
      <alignment horizontal="center" vertical="center"/>
    </xf>
    <xf numFmtId="0" fontId="42" fillId="0" borderId="4" xfId="0" applyFont="1" applyFill="1" applyBorder="1" applyAlignment="1" applyProtection="1">
      <alignment horizontal="center" vertical="center"/>
    </xf>
    <xf numFmtId="0" fontId="18" fillId="0" borderId="4" xfId="0" applyFont="1" applyFill="1" applyBorder="1" applyAlignment="1" applyProtection="1">
      <alignment horizontal="center" vertical="center" wrapText="1"/>
    </xf>
    <xf numFmtId="0" fontId="43" fillId="3" borderId="4" xfId="0" applyFont="1" applyFill="1" applyBorder="1" applyAlignment="1" applyProtection="1">
      <alignment horizontal="center" vertical="center"/>
    </xf>
    <xf numFmtId="0" fontId="4" fillId="3" borderId="4" xfId="0" applyFont="1" applyFill="1" applyBorder="1" applyAlignment="1" applyProtection="1">
      <alignment horizontal="center" vertical="center"/>
      <protection locked="0"/>
    </xf>
    <xf numFmtId="44" fontId="6" fillId="3" borderId="4" xfId="4" applyFont="1" applyFill="1" applyBorder="1" applyAlignment="1" applyProtection="1">
      <alignment horizontal="right" vertical="center"/>
      <protection locked="0"/>
    </xf>
    <xf numFmtId="44" fontId="7" fillId="0" borderId="4" xfId="4" applyFont="1" applyFill="1" applyBorder="1" applyAlignment="1" applyProtection="1">
      <alignment horizontal="right" vertical="center"/>
    </xf>
    <xf numFmtId="0" fontId="4" fillId="9" borderId="4" xfId="0" applyFont="1" applyFill="1" applyBorder="1" applyAlignment="1" applyProtection="1">
      <alignment horizontal="left" vertical="center"/>
      <protection locked="0"/>
    </xf>
    <xf numFmtId="44" fontId="2" fillId="3" borderId="45" xfId="4" applyFont="1" applyFill="1" applyBorder="1" applyAlignment="1" applyProtection="1">
      <alignment horizontal="right" vertical="center"/>
    </xf>
    <xf numFmtId="0" fontId="13" fillId="0" borderId="4" xfId="0" applyFont="1" applyFill="1" applyBorder="1" applyAlignment="1" applyProtection="1">
      <alignment horizontal="center" vertical="center"/>
    </xf>
    <xf numFmtId="44" fontId="36" fillId="0" borderId="4" xfId="4" applyFont="1" applyFill="1" applyBorder="1" applyAlignment="1" applyProtection="1">
      <alignment horizontal="right" vertical="center"/>
    </xf>
    <xf numFmtId="0" fontId="13" fillId="0" borderId="4" xfId="0" applyFont="1" applyFill="1" applyBorder="1" applyAlignment="1" applyProtection="1">
      <alignment horizontal="center" vertical="center"/>
    </xf>
    <xf numFmtId="0" fontId="4" fillId="12" borderId="4" xfId="0" applyFont="1" applyFill="1" applyBorder="1" applyAlignment="1" applyProtection="1">
      <alignment horizontal="center" vertical="center"/>
    </xf>
    <xf numFmtId="0" fontId="0" fillId="0" borderId="16" xfId="0" applyFill="1" applyBorder="1" applyAlignment="1" applyProtection="1">
      <alignment horizontal="center" vertical="center"/>
    </xf>
    <xf numFmtId="0" fontId="0" fillId="0" borderId="18" xfId="0" applyFill="1" applyBorder="1" applyAlignment="1" applyProtection="1">
      <alignment horizontal="center" vertical="center"/>
    </xf>
    <xf numFmtId="0" fontId="13" fillId="0" borderId="4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left" vertical="center"/>
      <protection locked="0"/>
    </xf>
    <xf numFmtId="0" fontId="7" fillId="7" borderId="34" xfId="0" applyFont="1" applyFill="1" applyBorder="1" applyAlignment="1" applyProtection="1">
      <alignment vertical="center"/>
    </xf>
    <xf numFmtId="0" fontId="7" fillId="7" borderId="5" xfId="0" applyFont="1" applyFill="1" applyBorder="1" applyAlignment="1" applyProtection="1">
      <alignment vertical="center"/>
    </xf>
    <xf numFmtId="0" fontId="7" fillId="7" borderId="36" xfId="0" applyFont="1" applyFill="1" applyBorder="1" applyAlignment="1" applyProtection="1">
      <alignment vertical="center"/>
    </xf>
    <xf numFmtId="0" fontId="13" fillId="7" borderId="27" xfId="0" applyFont="1" applyFill="1" applyBorder="1" applyAlignment="1" applyProtection="1">
      <alignment horizontal="center" vertical="center"/>
    </xf>
    <xf numFmtId="0" fontId="30" fillId="7" borderId="1" xfId="0" applyFont="1" applyFill="1" applyBorder="1" applyAlignment="1" applyProtection="1">
      <alignment horizontal="center" vertical="center"/>
    </xf>
    <xf numFmtId="0" fontId="3" fillId="7" borderId="1" xfId="0" applyFont="1" applyFill="1" applyBorder="1" applyAlignment="1" applyProtection="1">
      <alignment horizontal="center" vertical="center"/>
    </xf>
    <xf numFmtId="0" fontId="2" fillId="7" borderId="27" xfId="0" applyFont="1" applyFill="1" applyBorder="1" applyAlignment="1" applyProtection="1">
      <alignment horizontal="center" vertical="center"/>
    </xf>
    <xf numFmtId="0" fontId="2" fillId="7" borderId="31" xfId="0" applyFont="1" applyFill="1" applyBorder="1" applyAlignment="1" applyProtection="1">
      <alignment horizontal="center" vertical="center"/>
    </xf>
    <xf numFmtId="0" fontId="2" fillId="7" borderId="32" xfId="0" applyFont="1" applyFill="1" applyBorder="1" applyAlignment="1" applyProtection="1">
      <alignment horizontal="center" vertical="center"/>
    </xf>
    <xf numFmtId="43" fontId="2" fillId="7" borderId="1" xfId="2" applyFont="1" applyFill="1" applyBorder="1" applyAlignment="1" applyProtection="1">
      <alignment horizontal="center" vertical="center"/>
    </xf>
    <xf numFmtId="0" fontId="2" fillId="7" borderId="1" xfId="0" applyFont="1" applyFill="1" applyBorder="1" applyAlignment="1" applyProtection="1">
      <alignment horizontal="center" vertical="center"/>
    </xf>
    <xf numFmtId="0" fontId="2" fillId="7" borderId="3" xfId="0" applyFont="1" applyFill="1" applyBorder="1" applyAlignment="1" applyProtection="1">
      <alignment horizontal="center" vertical="center"/>
    </xf>
    <xf numFmtId="0" fontId="2" fillId="7" borderId="0" xfId="0" applyFont="1" applyFill="1" applyBorder="1" applyAlignment="1" applyProtection="1">
      <alignment horizontal="center" vertical="center"/>
    </xf>
    <xf numFmtId="0" fontId="2" fillId="7" borderId="4" xfId="0" applyFont="1" applyFill="1" applyBorder="1" applyAlignment="1" applyProtection="1">
      <alignment horizontal="center" vertical="center"/>
    </xf>
    <xf numFmtId="0" fontId="2" fillId="7" borderId="5" xfId="0" applyFont="1" applyFill="1" applyBorder="1" applyAlignment="1" applyProtection="1">
      <alignment horizontal="center" vertical="center"/>
    </xf>
    <xf numFmtId="0" fontId="2" fillId="7" borderId="6" xfId="0" applyFont="1" applyFill="1" applyBorder="1" applyAlignment="1" applyProtection="1">
      <alignment horizontal="center" vertical="center"/>
    </xf>
    <xf numFmtId="0" fontId="2" fillId="7" borderId="1" xfId="0" applyFont="1" applyFill="1" applyBorder="1" applyAlignment="1" applyProtection="1">
      <alignment horizontal="center" vertical="center" wrapText="1"/>
    </xf>
    <xf numFmtId="0" fontId="2" fillId="13" borderId="27" xfId="0" applyFont="1" applyFill="1" applyBorder="1" applyAlignment="1" applyProtection="1">
      <alignment horizontal="center"/>
    </xf>
    <xf numFmtId="0" fontId="3" fillId="13" borderId="31" xfId="0" applyFont="1" applyFill="1" applyBorder="1" applyAlignment="1" applyProtection="1">
      <alignment horizontal="center"/>
    </xf>
    <xf numFmtId="0" fontId="3" fillId="13" borderId="27" xfId="0" applyFont="1" applyFill="1" applyBorder="1" applyAlignment="1" applyProtection="1">
      <alignment horizontal="center"/>
    </xf>
    <xf numFmtId="0" fontId="3" fillId="13" borderId="32" xfId="0" applyFont="1" applyFill="1" applyBorder="1" applyAlignment="1" applyProtection="1">
      <alignment horizontal="center"/>
    </xf>
    <xf numFmtId="0" fontId="21" fillId="13" borderId="27" xfId="0" applyFont="1" applyFill="1" applyBorder="1" applyAlignment="1" applyProtection="1">
      <alignment horizontal="center"/>
    </xf>
    <xf numFmtId="0" fontId="29" fillId="13" borderId="33" xfId="0" applyFont="1" applyFill="1" applyBorder="1" applyAlignment="1" applyProtection="1">
      <alignment horizontal="center"/>
    </xf>
    <xf numFmtId="0" fontId="21" fillId="13" borderId="3" xfId="0" applyFont="1" applyFill="1" applyBorder="1" applyAlignment="1" applyProtection="1">
      <alignment horizontal="center"/>
    </xf>
    <xf numFmtId="0" fontId="3" fillId="13" borderId="0" xfId="0" applyFont="1" applyFill="1" applyBorder="1" applyAlignment="1" applyProtection="1">
      <alignment horizontal="center"/>
    </xf>
    <xf numFmtId="0" fontId="3" fillId="13" borderId="1" xfId="0" applyFont="1" applyFill="1" applyBorder="1" applyAlignment="1" applyProtection="1">
      <alignment horizontal="center"/>
    </xf>
    <xf numFmtId="0" fontId="3" fillId="13" borderId="4" xfId="0" applyFont="1" applyFill="1" applyBorder="1" applyAlignment="1" applyProtection="1">
      <alignment horizontal="center"/>
    </xf>
    <xf numFmtId="0" fontId="21" fillId="13" borderId="1" xfId="0" applyFont="1" applyFill="1" applyBorder="1" applyAlignment="1" applyProtection="1">
      <alignment horizontal="center"/>
    </xf>
    <xf numFmtId="0" fontId="3" fillId="13" borderId="3" xfId="0" applyFont="1" applyFill="1" applyBorder="1" applyAlignment="1" applyProtection="1">
      <alignment horizontal="center"/>
    </xf>
    <xf numFmtId="0" fontId="29" fillId="13" borderId="12" xfId="0" applyFont="1" applyFill="1" applyBorder="1" applyAlignment="1" applyProtection="1">
      <alignment horizontal="center"/>
    </xf>
    <xf numFmtId="0" fontId="21" fillId="13" borderId="45" xfId="0" applyFont="1" applyFill="1" applyBorder="1" applyAlignment="1" applyProtection="1">
      <alignment horizontal="center"/>
    </xf>
    <xf numFmtId="0" fontId="3" fillId="13" borderId="41" xfId="0" applyFont="1" applyFill="1" applyBorder="1" applyAlignment="1" applyProtection="1">
      <alignment horizontal="center"/>
    </xf>
    <xf numFmtId="0" fontId="3" fillId="13" borderId="45" xfId="0" applyFont="1" applyFill="1" applyBorder="1" applyAlignment="1" applyProtection="1">
      <alignment horizontal="center"/>
    </xf>
    <xf numFmtId="0" fontId="3" fillId="13" borderId="39" xfId="0" applyFont="1" applyFill="1" applyBorder="1" applyAlignment="1" applyProtection="1">
      <alignment horizontal="center"/>
    </xf>
    <xf numFmtId="0" fontId="3" fillId="13" borderId="42" xfId="0" applyFont="1" applyFill="1" applyBorder="1" applyAlignment="1" applyProtection="1">
      <alignment horizontal="center"/>
    </xf>
    <xf numFmtId="0" fontId="3" fillId="13" borderId="49" xfId="0" applyFont="1" applyFill="1" applyBorder="1" applyAlignment="1" applyProtection="1">
      <alignment horizontal="center"/>
    </xf>
    <xf numFmtId="0" fontId="18" fillId="13" borderId="45" xfId="0" applyFont="1" applyFill="1" applyBorder="1" applyAlignment="1" applyProtection="1">
      <alignment horizontal="center" wrapText="1"/>
    </xf>
    <xf numFmtId="0" fontId="29" fillId="13" borderId="40" xfId="0" applyFont="1" applyFill="1" applyBorder="1" applyAlignment="1" applyProtection="1">
      <alignment horizontal="center"/>
    </xf>
    <xf numFmtId="0" fontId="44" fillId="0" borderId="0" xfId="0" applyFont="1" applyProtection="1"/>
    <xf numFmtId="0" fontId="13" fillId="13" borderId="26" xfId="0" applyFont="1" applyFill="1" applyBorder="1" applyAlignment="1" applyProtection="1">
      <alignment vertical="center"/>
    </xf>
    <xf numFmtId="0" fontId="13" fillId="13" borderId="27" xfId="0" applyFont="1" applyFill="1" applyBorder="1" applyAlignment="1" applyProtection="1">
      <alignment horizontal="center" vertical="center"/>
    </xf>
    <xf numFmtId="0" fontId="7" fillId="13" borderId="27" xfId="0" applyFont="1" applyFill="1" applyBorder="1" applyAlignment="1" applyProtection="1">
      <alignment horizontal="center" vertical="center"/>
    </xf>
    <xf numFmtId="0" fontId="21" fillId="13" borderId="27" xfId="0" applyFont="1" applyFill="1" applyBorder="1" applyAlignment="1" applyProtection="1">
      <alignment horizontal="center" vertical="center"/>
    </xf>
    <xf numFmtId="0" fontId="3" fillId="13" borderId="31" xfId="0" applyFont="1" applyFill="1" applyBorder="1" applyAlignment="1" applyProtection="1">
      <alignment horizontal="center" vertical="center"/>
    </xf>
    <xf numFmtId="0" fontId="3" fillId="13" borderId="27" xfId="0" applyFont="1" applyFill="1" applyBorder="1" applyAlignment="1" applyProtection="1">
      <alignment horizontal="center" vertical="center"/>
    </xf>
    <xf numFmtId="0" fontId="3" fillId="13" borderId="32" xfId="0" applyFont="1" applyFill="1" applyBorder="1" applyAlignment="1" applyProtection="1">
      <alignment horizontal="center" vertical="center"/>
    </xf>
    <xf numFmtId="0" fontId="21" fillId="13" borderId="33" xfId="0" applyFont="1" applyFill="1" applyBorder="1" applyAlignment="1" applyProtection="1">
      <alignment horizontal="center" vertical="center"/>
    </xf>
    <xf numFmtId="0" fontId="3" fillId="13" borderId="35" xfId="0" applyFont="1" applyFill="1" applyBorder="1" applyAlignment="1" applyProtection="1">
      <alignment horizontal="center" vertical="center"/>
    </xf>
    <xf numFmtId="0" fontId="30" fillId="13" borderId="1" xfId="0" applyFont="1" applyFill="1" applyBorder="1" applyAlignment="1" applyProtection="1">
      <alignment horizontal="center" vertical="center"/>
    </xf>
    <xf numFmtId="0" fontId="21" fillId="13" borderId="1" xfId="0" applyFont="1" applyFill="1" applyBorder="1" applyAlignment="1" applyProtection="1">
      <alignment horizontal="center" vertical="center"/>
    </xf>
    <xf numFmtId="0" fontId="21" fillId="13" borderId="3" xfId="0" applyFont="1" applyFill="1" applyBorder="1" applyAlignment="1" applyProtection="1">
      <alignment horizontal="center" vertical="center"/>
    </xf>
    <xf numFmtId="0" fontId="3" fillId="13" borderId="3" xfId="0" applyFont="1" applyFill="1" applyBorder="1" applyAlignment="1" applyProtection="1">
      <alignment horizontal="center" vertical="center"/>
    </xf>
    <xf numFmtId="0" fontId="3" fillId="13" borderId="0" xfId="0" applyFont="1" applyFill="1" applyBorder="1" applyAlignment="1" applyProtection="1">
      <alignment horizontal="center" vertical="center"/>
    </xf>
    <xf numFmtId="0" fontId="3" fillId="13" borderId="1" xfId="0" applyFont="1" applyFill="1" applyBorder="1" applyAlignment="1" applyProtection="1">
      <alignment horizontal="center" vertical="center"/>
    </xf>
    <xf numFmtId="0" fontId="3" fillId="13" borderId="4" xfId="0" applyFont="1" applyFill="1" applyBorder="1" applyAlignment="1" applyProtection="1">
      <alignment horizontal="center" vertical="center"/>
    </xf>
    <xf numFmtId="0" fontId="21" fillId="13" borderId="12" xfId="0" applyFont="1" applyFill="1" applyBorder="1" applyAlignment="1" applyProtection="1">
      <alignment horizontal="center" vertical="center"/>
    </xf>
    <xf numFmtId="0" fontId="3" fillId="13" borderId="5" xfId="0" applyFont="1" applyFill="1" applyBorder="1" applyAlignment="1" applyProtection="1">
      <alignment horizontal="center" vertical="center"/>
    </xf>
    <xf numFmtId="0" fontId="3" fillId="13" borderId="6" xfId="0" applyFont="1" applyFill="1" applyBorder="1" applyAlignment="1" applyProtection="1">
      <alignment horizontal="center" vertical="center"/>
    </xf>
    <xf numFmtId="0" fontId="18" fillId="13" borderId="1" xfId="0" applyFont="1" applyFill="1" applyBorder="1" applyAlignment="1" applyProtection="1">
      <alignment horizontal="center" vertical="center" wrapText="1"/>
    </xf>
    <xf numFmtId="0" fontId="44" fillId="0" borderId="0" xfId="0" applyFont="1" applyBorder="1" applyAlignment="1" applyProtection="1">
      <alignment vertical="center"/>
    </xf>
    <xf numFmtId="0" fontId="3" fillId="13" borderId="33" xfId="0" applyFont="1" applyFill="1" applyBorder="1" applyAlignment="1" applyProtection="1">
      <alignment horizontal="center" vertical="center"/>
    </xf>
    <xf numFmtId="43" fontId="3" fillId="13" borderId="1" xfId="2" applyFont="1" applyFill="1" applyBorder="1" applyAlignment="1" applyProtection="1">
      <alignment horizontal="center" vertical="center"/>
    </xf>
    <xf numFmtId="0" fontId="3" fillId="13" borderId="12" xfId="0" applyFont="1" applyFill="1" applyBorder="1" applyAlignment="1" applyProtection="1">
      <alignment horizontal="center" vertical="center"/>
    </xf>
    <xf numFmtId="0" fontId="0" fillId="13" borderId="10" xfId="0" applyFill="1" applyBorder="1" applyAlignment="1" applyProtection="1">
      <alignment vertical="center"/>
    </xf>
    <xf numFmtId="0" fontId="0" fillId="13" borderId="11" xfId="0" applyFill="1" applyBorder="1" applyAlignment="1" applyProtection="1">
      <alignment vertical="center"/>
    </xf>
    <xf numFmtId="0" fontId="0" fillId="3" borderId="4" xfId="0" applyFill="1" applyBorder="1" applyAlignment="1" applyProtection="1">
      <alignment horizontal="center" vertical="center"/>
    </xf>
    <xf numFmtId="0" fontId="0" fillId="0" borderId="16" xfId="0" applyFill="1" applyBorder="1" applyAlignment="1" applyProtection="1">
      <alignment horizontal="center" vertical="center"/>
    </xf>
    <xf numFmtId="0" fontId="0" fillId="0" borderId="18" xfId="0" applyFill="1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3" fillId="13" borderId="28" xfId="0" applyFont="1" applyFill="1" applyBorder="1" applyAlignment="1" applyProtection="1">
      <alignment horizontal="center" vertical="center"/>
    </xf>
    <xf numFmtId="0" fontId="3" fillId="13" borderId="29" xfId="0" applyFont="1" applyFill="1" applyBorder="1" applyAlignment="1" applyProtection="1">
      <alignment horizontal="center" vertical="center"/>
    </xf>
    <xf numFmtId="0" fontId="3" fillId="13" borderId="30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left" vertical="center"/>
      <protection locked="0"/>
    </xf>
    <xf numFmtId="0" fontId="2" fillId="7" borderId="28" xfId="0" applyFont="1" applyFill="1" applyBorder="1" applyAlignment="1" applyProtection="1">
      <alignment horizontal="center" vertical="center"/>
    </xf>
    <xf numFmtId="0" fontId="2" fillId="7" borderId="29" xfId="0" applyFont="1" applyFill="1" applyBorder="1" applyAlignment="1" applyProtection="1">
      <alignment horizontal="center" vertical="center"/>
    </xf>
    <xf numFmtId="0" fontId="2" fillId="7" borderId="30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 vertical="center"/>
    </xf>
    <xf numFmtId="0" fontId="28" fillId="0" borderId="0" xfId="0" applyFont="1" applyBorder="1" applyAlignment="1" applyProtection="1">
      <alignment horizontal="center" vertical="center"/>
      <protection locked="0"/>
    </xf>
    <xf numFmtId="43" fontId="7" fillId="13" borderId="1" xfId="2" applyFont="1" applyFill="1" applyBorder="1" applyAlignment="1" applyProtection="1">
      <alignment horizontal="center" vertical="center"/>
    </xf>
    <xf numFmtId="0" fontId="21" fillId="13" borderId="3" xfId="0" applyFont="1" applyFill="1" applyBorder="1" applyAlignment="1" applyProtection="1">
      <alignment horizontal="center" vertical="center"/>
    </xf>
    <xf numFmtId="0" fontId="21" fillId="13" borderId="1" xfId="0" applyFont="1" applyFill="1" applyBorder="1" applyAlignment="1" applyProtection="1">
      <alignment horizontal="center" vertical="center"/>
    </xf>
    <xf numFmtId="0" fontId="3" fillId="13" borderId="3" xfId="0" applyFont="1" applyFill="1" applyBorder="1" applyAlignment="1" applyProtection="1">
      <alignment horizontal="center" vertical="center"/>
    </xf>
    <xf numFmtId="0" fontId="3" fillId="13" borderId="1" xfId="0" applyFont="1" applyFill="1" applyBorder="1" applyAlignment="1" applyProtection="1">
      <alignment horizontal="center" vertical="center"/>
    </xf>
    <xf numFmtId="0" fontId="21" fillId="7" borderId="26" xfId="0" applyFont="1" applyFill="1" applyBorder="1" applyAlignment="1" applyProtection="1">
      <alignment horizontal="center" vertical="center"/>
    </xf>
    <xf numFmtId="0" fontId="21" fillId="7" borderId="35" xfId="0" applyFont="1" applyFill="1" applyBorder="1" applyAlignment="1" applyProtection="1">
      <alignment horizontal="center" vertical="center"/>
    </xf>
    <xf numFmtId="0" fontId="3" fillId="13" borderId="31" xfId="0" applyFont="1" applyFill="1" applyBorder="1" applyAlignment="1" applyProtection="1">
      <alignment horizontal="center" vertical="center"/>
    </xf>
    <xf numFmtId="0" fontId="3" fillId="7" borderId="3" xfId="0" applyFont="1" applyFill="1" applyBorder="1" applyAlignment="1" applyProtection="1">
      <alignment horizontal="center" vertical="center" wrapText="1"/>
    </xf>
    <xf numFmtId="0" fontId="3" fillId="7" borderId="1" xfId="0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vertical="center"/>
    </xf>
    <xf numFmtId="0" fontId="2" fillId="7" borderId="0" xfId="0" applyFont="1" applyFill="1" applyBorder="1" applyAlignment="1" applyProtection="1">
      <alignment horizontal="center" vertical="center"/>
    </xf>
    <xf numFmtId="0" fontId="7" fillId="7" borderId="46" xfId="0" applyFont="1" applyFill="1" applyBorder="1" applyAlignment="1" applyProtection="1">
      <alignment horizontal="center" vertical="center" wrapText="1"/>
    </xf>
    <xf numFmtId="0" fontId="7" fillId="7" borderId="47" xfId="0" applyFont="1" applyFill="1" applyBorder="1" applyAlignment="1" applyProtection="1">
      <alignment horizontal="center" vertical="center" wrapText="1"/>
    </xf>
    <xf numFmtId="0" fontId="13" fillId="0" borderId="4" xfId="0" applyFont="1" applyFill="1" applyBorder="1" applyAlignment="1" applyProtection="1">
      <alignment horizontal="center" vertical="center"/>
    </xf>
    <xf numFmtId="0" fontId="0" fillId="0" borderId="19" xfId="0" applyFill="1" applyBorder="1" applyAlignment="1" applyProtection="1">
      <alignment horizontal="center" vertical="center"/>
    </xf>
    <xf numFmtId="0" fontId="21" fillId="13" borderId="26" xfId="0" applyFont="1" applyFill="1" applyBorder="1" applyAlignment="1" applyProtection="1">
      <alignment horizontal="center" vertical="center"/>
    </xf>
    <xf numFmtId="0" fontId="21" fillId="13" borderId="35" xfId="0" applyFont="1" applyFill="1" applyBorder="1" applyAlignment="1" applyProtection="1">
      <alignment horizontal="center" vertical="center"/>
    </xf>
    <xf numFmtId="0" fontId="21" fillId="13" borderId="44" xfId="0" applyFont="1" applyFill="1" applyBorder="1" applyAlignment="1" applyProtection="1">
      <alignment horizontal="center" vertical="center"/>
    </xf>
    <xf numFmtId="0" fontId="6" fillId="13" borderId="27" xfId="0" applyFont="1" applyFill="1" applyBorder="1" applyAlignment="1" applyProtection="1">
      <alignment horizontal="center" vertical="center" wrapText="1"/>
    </xf>
    <xf numFmtId="0" fontId="6" fillId="13" borderId="1" xfId="0" applyFont="1" applyFill="1" applyBorder="1" applyAlignment="1" applyProtection="1">
      <alignment horizontal="center" vertical="center" wrapText="1"/>
    </xf>
    <xf numFmtId="0" fontId="6" fillId="13" borderId="45" xfId="0" applyFont="1" applyFill="1" applyBorder="1" applyAlignment="1" applyProtection="1">
      <alignment horizontal="center" vertical="center" wrapText="1"/>
    </xf>
    <xf numFmtId="0" fontId="21" fillId="13" borderId="1" xfId="0" applyFont="1" applyFill="1" applyBorder="1" applyAlignment="1" applyProtection="1">
      <alignment horizontal="center" vertical="center" wrapText="1"/>
    </xf>
    <xf numFmtId="0" fontId="21" fillId="13" borderId="45" xfId="0" applyFont="1" applyFill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center"/>
    </xf>
    <xf numFmtId="0" fontId="2" fillId="13" borderId="28" xfId="0" applyFont="1" applyFill="1" applyBorder="1" applyAlignment="1" applyProtection="1">
      <alignment horizontal="center" vertical="center"/>
    </xf>
    <xf numFmtId="0" fontId="2" fillId="13" borderId="29" xfId="0" applyFont="1" applyFill="1" applyBorder="1" applyAlignment="1" applyProtection="1">
      <alignment horizontal="center" vertical="center"/>
    </xf>
    <xf numFmtId="0" fontId="2" fillId="13" borderId="30" xfId="0" applyFont="1" applyFill="1" applyBorder="1" applyAlignment="1" applyProtection="1">
      <alignment horizontal="center" vertical="center"/>
    </xf>
    <xf numFmtId="0" fontId="3" fillId="13" borderId="28" xfId="0" applyFont="1" applyFill="1" applyBorder="1" applyAlignment="1" applyProtection="1">
      <alignment horizontal="center"/>
    </xf>
    <xf numFmtId="0" fontId="3" fillId="13" borderId="29" xfId="0" applyFont="1" applyFill="1" applyBorder="1" applyAlignment="1" applyProtection="1">
      <alignment horizontal="center"/>
    </xf>
    <xf numFmtId="0" fontId="3" fillId="13" borderId="30" xfId="0" applyFont="1" applyFill="1" applyBorder="1" applyAlignment="1" applyProtection="1">
      <alignment horizontal="center"/>
    </xf>
    <xf numFmtId="0" fontId="32" fillId="13" borderId="28" xfId="0" applyFont="1" applyFill="1" applyBorder="1" applyAlignment="1" applyProtection="1">
      <alignment horizontal="center" vertical="center"/>
    </xf>
    <xf numFmtId="0" fontId="32" fillId="13" borderId="29" xfId="0" applyFont="1" applyFill="1" applyBorder="1" applyAlignment="1" applyProtection="1">
      <alignment horizontal="center" vertical="center"/>
    </xf>
    <xf numFmtId="0" fontId="32" fillId="13" borderId="30" xfId="0" applyFont="1" applyFill="1" applyBorder="1" applyAlignment="1" applyProtection="1">
      <alignment horizontal="center" vertical="center"/>
    </xf>
    <xf numFmtId="0" fontId="21" fillId="13" borderId="3" xfId="0" applyFont="1" applyFill="1" applyBorder="1" applyAlignment="1" applyProtection="1">
      <alignment horizontal="center" vertical="center" wrapText="1"/>
    </xf>
    <xf numFmtId="0" fontId="3" fillId="13" borderId="3" xfId="0" applyFont="1" applyFill="1" applyBorder="1" applyAlignment="1" applyProtection="1">
      <alignment horizontal="center" vertical="center" wrapText="1"/>
    </xf>
    <xf numFmtId="0" fontId="3" fillId="13" borderId="45" xfId="0" applyFont="1" applyFill="1" applyBorder="1" applyAlignment="1" applyProtection="1">
      <alignment horizontal="center" vertical="center" wrapText="1"/>
    </xf>
    <xf numFmtId="0" fontId="31" fillId="13" borderId="27" xfId="0" applyFont="1" applyFill="1" applyBorder="1" applyAlignment="1" applyProtection="1">
      <alignment horizontal="center" vertical="center" wrapText="1"/>
    </xf>
    <xf numFmtId="0" fontId="31" fillId="13" borderId="1" xfId="0" applyFont="1" applyFill="1" applyBorder="1" applyAlignment="1" applyProtection="1">
      <alignment horizontal="center" vertical="center" wrapText="1"/>
    </xf>
    <xf numFmtId="0" fontId="31" fillId="13" borderId="45" xfId="0" applyFont="1" applyFill="1" applyBorder="1" applyAlignment="1" applyProtection="1">
      <alignment horizontal="center" vertical="center" wrapText="1"/>
    </xf>
    <xf numFmtId="0" fontId="7" fillId="13" borderId="31" xfId="0" applyFont="1" applyFill="1" applyBorder="1" applyAlignment="1" applyProtection="1">
      <alignment horizontal="center" vertical="center"/>
    </xf>
    <xf numFmtId="0" fontId="7" fillId="13" borderId="34" xfId="0" applyFont="1" applyFill="1" applyBorder="1" applyAlignment="1" applyProtection="1">
      <alignment horizontal="center" vertical="center"/>
    </xf>
    <xf numFmtId="0" fontId="7" fillId="13" borderId="0" xfId="0" applyFont="1" applyFill="1" applyBorder="1" applyAlignment="1" applyProtection="1">
      <alignment horizontal="center" vertical="center"/>
    </xf>
    <xf numFmtId="0" fontId="7" fillId="13" borderId="5" xfId="0" applyFont="1" applyFill="1" applyBorder="1" applyAlignment="1" applyProtection="1">
      <alignment horizontal="center" vertical="center"/>
    </xf>
    <xf numFmtId="0" fontId="7" fillId="13" borderId="41" xfId="0" applyFont="1" applyFill="1" applyBorder="1" applyAlignment="1" applyProtection="1">
      <alignment horizontal="center" vertical="center"/>
    </xf>
    <xf numFmtId="0" fontId="7" fillId="13" borderId="42" xfId="0" applyFont="1" applyFill="1" applyBorder="1" applyAlignment="1" applyProtection="1">
      <alignment horizontal="center" vertical="center"/>
    </xf>
    <xf numFmtId="0" fontId="7" fillId="13" borderId="4" xfId="0" applyFont="1" applyFill="1" applyBorder="1" applyAlignment="1" applyProtection="1">
      <alignment horizontal="center" vertical="center" wrapText="1"/>
    </xf>
    <xf numFmtId="0" fontId="7" fillId="13" borderId="3" xfId="0" applyFont="1" applyFill="1" applyBorder="1" applyAlignment="1" applyProtection="1">
      <alignment horizontal="center" vertical="center" wrapText="1"/>
    </xf>
    <xf numFmtId="0" fontId="21" fillId="13" borderId="31" xfId="0" applyFont="1" applyFill="1" applyBorder="1" applyAlignment="1" applyProtection="1">
      <alignment horizontal="center" vertical="center"/>
    </xf>
    <xf numFmtId="0" fontId="21" fillId="13" borderId="34" xfId="0" applyFont="1" applyFill="1" applyBorder="1" applyAlignment="1" applyProtection="1">
      <alignment horizontal="center" vertical="center"/>
    </xf>
    <xf numFmtId="0" fontId="21" fillId="13" borderId="0" xfId="0" applyFont="1" applyFill="1" applyBorder="1" applyAlignment="1" applyProtection="1">
      <alignment horizontal="center" vertical="center"/>
    </xf>
    <xf numFmtId="0" fontId="21" fillId="13" borderId="5" xfId="0" applyFont="1" applyFill="1" applyBorder="1" applyAlignment="1" applyProtection="1">
      <alignment horizontal="center" vertical="center"/>
    </xf>
    <xf numFmtId="0" fontId="21" fillId="13" borderId="4" xfId="0" applyFont="1" applyFill="1" applyBorder="1" applyAlignment="1" applyProtection="1">
      <alignment horizontal="center" vertical="center"/>
    </xf>
    <xf numFmtId="0" fontId="7" fillId="13" borderId="46" xfId="0" applyFont="1" applyFill="1" applyBorder="1" applyAlignment="1" applyProtection="1">
      <alignment horizontal="center" vertical="center" wrapText="1"/>
    </xf>
    <xf numFmtId="0" fontId="7" fillId="13" borderId="47" xfId="0" applyFont="1" applyFill="1" applyBorder="1" applyAlignment="1" applyProtection="1">
      <alignment horizontal="center" vertical="center" wrapText="1"/>
    </xf>
    <xf numFmtId="0" fontId="7" fillId="13" borderId="48" xfId="0" applyFont="1" applyFill="1" applyBorder="1" applyAlignment="1" applyProtection="1">
      <alignment horizontal="center" vertical="center" wrapText="1"/>
    </xf>
    <xf numFmtId="0" fontId="11" fillId="0" borderId="2" xfId="0" applyFont="1" applyBorder="1" applyAlignment="1" applyProtection="1">
      <alignment horizontal="center"/>
    </xf>
    <xf numFmtId="0" fontId="11" fillId="0" borderId="14" xfId="0" applyFont="1" applyBorder="1" applyAlignment="1" applyProtection="1">
      <alignment horizontal="center"/>
    </xf>
    <xf numFmtId="0" fontId="11" fillId="0" borderId="15" xfId="0" applyFont="1" applyBorder="1" applyAlignment="1" applyProtection="1">
      <alignment horizontal="center"/>
    </xf>
    <xf numFmtId="0" fontId="11" fillId="0" borderId="3" xfId="0" applyFont="1" applyBorder="1" applyAlignment="1" applyProtection="1">
      <alignment horizontal="center"/>
    </xf>
    <xf numFmtId="0" fontId="11" fillId="0" borderId="10" xfId="0" applyFont="1" applyBorder="1" applyAlignment="1" applyProtection="1">
      <alignment horizontal="center"/>
    </xf>
    <xf numFmtId="0" fontId="11" fillId="0" borderId="11" xfId="0" applyFont="1" applyBorder="1" applyAlignment="1" applyProtection="1">
      <alignment horizontal="center"/>
    </xf>
    <xf numFmtId="0" fontId="11" fillId="0" borderId="1" xfId="0" applyFont="1" applyBorder="1" applyAlignment="1" applyProtection="1">
      <alignment horizontal="center"/>
    </xf>
    <xf numFmtId="0" fontId="11" fillId="0" borderId="12" xfId="0" applyFont="1" applyBorder="1" applyAlignment="1" applyProtection="1">
      <alignment horizontal="center"/>
    </xf>
    <xf numFmtId="0" fontId="11" fillId="0" borderId="13" xfId="0" applyFont="1" applyBorder="1" applyAlignment="1" applyProtection="1">
      <alignment horizontal="center"/>
    </xf>
    <xf numFmtId="0" fontId="3" fillId="7" borderId="4" xfId="0" applyFont="1" applyFill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/>
    </xf>
    <xf numFmtId="0" fontId="3" fillId="0" borderId="17" xfId="0" applyFont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3" fillId="2" borderId="16" xfId="0" applyFont="1" applyFill="1" applyBorder="1" applyAlignment="1" applyProtection="1">
      <alignment horizontal="center" vertical="center"/>
    </xf>
    <xf numFmtId="0" fontId="3" fillId="2" borderId="17" xfId="0" applyFont="1" applyFill="1" applyBorder="1" applyAlignment="1" applyProtection="1">
      <alignment horizontal="center" vertical="center"/>
    </xf>
    <xf numFmtId="0" fontId="3" fillId="2" borderId="18" xfId="0" applyFont="1" applyFill="1" applyBorder="1" applyAlignment="1" applyProtection="1">
      <alignment horizontal="center" vertical="center"/>
    </xf>
    <xf numFmtId="166" fontId="3" fillId="0" borderId="3" xfId="0" applyNumberFormat="1" applyFont="1" applyFill="1" applyBorder="1" applyAlignment="1" applyProtection="1">
      <alignment horizontal="center" vertical="center" wrapText="1"/>
    </xf>
    <xf numFmtId="166" fontId="3" fillId="0" borderId="1" xfId="0" applyNumberFormat="1" applyFont="1" applyFill="1" applyBorder="1" applyAlignment="1" applyProtection="1">
      <alignment horizontal="center" vertical="center" wrapText="1"/>
    </xf>
    <xf numFmtId="166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23" fillId="9" borderId="4" xfId="0" applyFont="1" applyFill="1" applyBorder="1" applyAlignment="1" applyProtection="1">
      <alignment horizontal="center" vertical="center" wrapText="1"/>
    </xf>
    <xf numFmtId="0" fontId="3" fillId="8" borderId="7" xfId="0" applyFont="1" applyFill="1" applyBorder="1" applyAlignment="1" applyProtection="1">
      <alignment horizontal="center" vertical="center" wrapText="1"/>
    </xf>
    <xf numFmtId="0" fontId="3" fillId="8" borderId="0" xfId="0" applyFont="1" applyFill="1" applyBorder="1" applyAlignment="1" applyProtection="1">
      <alignment horizontal="center" vertical="center" wrapText="1"/>
    </xf>
    <xf numFmtId="0" fontId="3" fillId="8" borderId="19" xfId="0" applyFont="1" applyFill="1" applyBorder="1" applyAlignment="1" applyProtection="1">
      <alignment horizontal="center" vertical="center" wrapText="1"/>
    </xf>
    <xf numFmtId="0" fontId="21" fillId="0" borderId="26" xfId="0" applyFont="1" applyBorder="1" applyAlignment="1" applyProtection="1">
      <alignment horizontal="center" vertical="center"/>
    </xf>
    <xf numFmtId="0" fontId="21" fillId="0" borderId="35" xfId="0" applyFont="1" applyBorder="1" applyAlignment="1" applyProtection="1">
      <alignment horizontal="center" vertical="center"/>
    </xf>
    <xf numFmtId="0" fontId="21" fillId="0" borderId="44" xfId="0" applyFont="1" applyBorder="1" applyAlignment="1" applyProtection="1">
      <alignment horizontal="center" vertical="center"/>
    </xf>
    <xf numFmtId="0" fontId="31" fillId="0" borderId="27" xfId="0" applyFont="1" applyFill="1" applyBorder="1" applyAlignment="1" applyProtection="1">
      <alignment horizontal="center" vertical="center" wrapText="1"/>
    </xf>
    <xf numFmtId="0" fontId="31" fillId="0" borderId="1" xfId="0" applyFont="1" applyFill="1" applyBorder="1" applyAlignment="1" applyProtection="1">
      <alignment horizontal="center" vertical="center" wrapText="1"/>
    </xf>
    <xf numFmtId="0" fontId="31" fillId="0" borderId="45" xfId="0" applyFont="1" applyFill="1" applyBorder="1" applyAlignment="1" applyProtection="1">
      <alignment horizontal="center" vertical="center" wrapText="1"/>
    </xf>
    <xf numFmtId="0" fontId="6" fillId="0" borderId="27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45" xfId="0" applyFont="1" applyFill="1" applyBorder="1" applyAlignment="1" applyProtection="1">
      <alignment horizontal="center" vertical="center" wrapText="1"/>
    </xf>
    <xf numFmtId="0" fontId="2" fillId="0" borderId="28" xfId="0" applyFont="1" applyBorder="1" applyAlignment="1" applyProtection="1">
      <alignment horizontal="center" vertical="center"/>
    </xf>
    <xf numFmtId="0" fontId="2" fillId="0" borderId="29" xfId="0" applyFont="1" applyBorder="1" applyAlignment="1" applyProtection="1">
      <alignment horizontal="center" vertical="center"/>
    </xf>
    <xf numFmtId="0" fontId="2" fillId="0" borderId="30" xfId="0" applyFont="1" applyBorder="1" applyAlignment="1" applyProtection="1">
      <alignment horizontal="center" vertical="center"/>
    </xf>
    <xf numFmtId="0" fontId="3" fillId="2" borderId="28" xfId="0" applyFont="1" applyFill="1" applyBorder="1" applyAlignment="1" applyProtection="1">
      <alignment horizontal="center"/>
    </xf>
    <xf numFmtId="0" fontId="3" fillId="2" borderId="29" xfId="0" applyFont="1" applyFill="1" applyBorder="1" applyAlignment="1" applyProtection="1">
      <alignment horizontal="center"/>
    </xf>
    <xf numFmtId="0" fontId="3" fillId="2" borderId="30" xfId="0" applyFont="1" applyFill="1" applyBorder="1" applyAlignment="1" applyProtection="1">
      <alignment horizontal="center"/>
    </xf>
    <xf numFmtId="0" fontId="32" fillId="0" borderId="28" xfId="0" applyFont="1" applyBorder="1" applyAlignment="1" applyProtection="1">
      <alignment horizontal="center" vertical="center"/>
    </xf>
    <xf numFmtId="0" fontId="32" fillId="0" borderId="29" xfId="0" applyFont="1" applyBorder="1" applyAlignment="1" applyProtection="1">
      <alignment horizontal="center" vertical="center"/>
    </xf>
    <xf numFmtId="0" fontId="32" fillId="0" borderId="30" xfId="0" applyFont="1" applyBorder="1" applyAlignment="1" applyProtection="1">
      <alignment horizontal="center" vertical="center"/>
    </xf>
    <xf numFmtId="0" fontId="7" fillId="0" borderId="46" xfId="0" applyFont="1" applyBorder="1" applyAlignment="1" applyProtection="1">
      <alignment horizontal="center" vertical="center" wrapText="1"/>
    </xf>
    <xf numFmtId="0" fontId="7" fillId="0" borderId="47" xfId="0" applyFont="1" applyBorder="1" applyAlignment="1" applyProtection="1">
      <alignment horizontal="center" vertical="center" wrapText="1"/>
    </xf>
    <xf numFmtId="0" fontId="7" fillId="0" borderId="48" xfId="0" applyFont="1" applyBorder="1" applyAlignment="1" applyProtection="1">
      <alignment horizontal="center" vertical="center" wrapText="1"/>
    </xf>
    <xf numFmtId="0" fontId="7" fillId="0" borderId="31" xfId="0" applyFont="1" applyFill="1" applyBorder="1" applyAlignment="1" applyProtection="1">
      <alignment horizontal="center" vertical="center"/>
    </xf>
    <xf numFmtId="0" fontId="7" fillId="0" borderId="34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</xf>
    <xf numFmtId="0" fontId="7" fillId="0" borderId="41" xfId="0" applyFont="1" applyFill="1" applyBorder="1" applyAlignment="1" applyProtection="1">
      <alignment horizontal="center" vertical="center"/>
    </xf>
    <xf numFmtId="0" fontId="7" fillId="0" borderId="42" xfId="0" applyFont="1" applyFill="1" applyBorder="1" applyAlignment="1" applyProtection="1">
      <alignment horizontal="center" vertical="center"/>
    </xf>
    <xf numFmtId="0" fontId="21" fillId="0" borderId="1" xfId="0" applyFont="1" applyBorder="1" applyAlignment="1" applyProtection="1">
      <alignment horizontal="center" vertical="center" wrapText="1"/>
    </xf>
    <xf numFmtId="0" fontId="21" fillId="0" borderId="45" xfId="0" applyFont="1" applyBorder="1" applyAlignment="1" applyProtection="1">
      <alignment horizontal="center" vertical="center" wrapText="1"/>
    </xf>
    <xf numFmtId="0" fontId="21" fillId="0" borderId="3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45" xfId="0" applyFont="1" applyBorder="1" applyAlignment="1" applyProtection="1">
      <alignment horizontal="center" vertical="center" wrapText="1"/>
    </xf>
  </cellXfs>
  <cellStyles count="5">
    <cellStyle name="Euro" xfId="1"/>
    <cellStyle name="Millares" xfId="2" builtinId="3"/>
    <cellStyle name="Moneda" xfId="4" builtinId="4"/>
    <cellStyle name="Normal" xfId="0" builtinId="0"/>
    <cellStyle name="Porcentaje" xfId="3" builtinId="5"/>
  </cellStyles>
  <dxfs count="0"/>
  <tableStyles count="0" defaultTableStyle="TableStyleMedium9" defaultPivotStyle="PivotStyleLight16"/>
  <colors>
    <mruColors>
      <color rgb="FFEB4E3D"/>
      <color rgb="FF7DB4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241"/>
  <sheetViews>
    <sheetView showGridLines="0" tabSelected="1" view="pageBreakPreview" zoomScale="96" zoomScaleNormal="84" zoomScaleSheetLayoutView="96" workbookViewId="0">
      <pane ySplit="6" topLeftCell="A7" activePane="bottomLeft" state="frozen"/>
      <selection pane="bottomLeft" activeCell="D4" sqref="D4:D6"/>
    </sheetView>
  </sheetViews>
  <sheetFormatPr baseColWidth="10" defaultColWidth="11.42578125" defaultRowHeight="12.75" x14ac:dyDescent="0.2"/>
  <cols>
    <col min="1" max="1" width="2.7109375" style="4" customWidth="1"/>
    <col min="2" max="2" width="3.85546875" style="4" customWidth="1"/>
    <col min="3" max="3" width="37.42578125" style="157" customWidth="1"/>
    <col min="4" max="4" width="14.28515625" style="34" customWidth="1"/>
    <col min="5" max="5" width="12.7109375" style="4" customWidth="1"/>
    <col min="6" max="6" width="15.5703125" style="4" bestFit="1" customWidth="1"/>
    <col min="7" max="7" width="11.85546875" style="4" hidden="1" customWidth="1"/>
    <col min="8" max="8" width="12.140625" style="4" hidden="1" customWidth="1"/>
    <col min="9" max="9" width="11.5703125" style="4" hidden="1" customWidth="1"/>
    <col min="10" max="10" width="12" style="4" hidden="1" customWidth="1"/>
    <col min="11" max="11" width="0.140625" style="4" customWidth="1"/>
    <col min="12" max="12" width="12.28515625" style="4" customWidth="1"/>
    <col min="13" max="13" width="15.5703125" style="4" bestFit="1" customWidth="1"/>
    <col min="14" max="14" width="8.7109375" style="4" hidden="1" customWidth="1"/>
    <col min="15" max="15" width="13.140625" style="4" hidden="1" customWidth="1"/>
    <col min="16" max="18" width="11" style="4" hidden="1" customWidth="1"/>
    <col min="19" max="20" width="13.140625" style="4" hidden="1" customWidth="1"/>
    <col min="21" max="21" width="10.5703125" style="4" hidden="1" customWidth="1"/>
    <col min="22" max="22" width="10.42578125" style="4" hidden="1" customWidth="1"/>
    <col min="23" max="23" width="13.140625" style="4" hidden="1" customWidth="1"/>
    <col min="24" max="24" width="11.5703125" style="4" hidden="1" customWidth="1"/>
    <col min="25" max="25" width="7.7109375" style="4" hidden="1" customWidth="1"/>
    <col min="26" max="26" width="11.7109375" style="4" customWidth="1"/>
    <col min="27" max="27" width="14.140625" style="4" customWidth="1"/>
    <col min="28" max="28" width="7" style="4" hidden="1" customWidth="1"/>
    <col min="29" max="29" width="10.85546875" style="4" customWidth="1"/>
    <col min="30" max="30" width="16" style="4" customWidth="1"/>
    <col min="31" max="31" width="15.85546875" style="34" customWidth="1"/>
    <col min="32" max="32" width="14.28515625" style="403" customWidth="1"/>
    <col min="33" max="33" width="14" style="4" customWidth="1"/>
    <col min="34" max="34" width="19.7109375" style="4" customWidth="1"/>
    <col min="35" max="35" width="0.28515625" style="4" customWidth="1"/>
    <col min="36" max="36" width="11.42578125" style="4"/>
    <col min="37" max="37" width="13.28515625" style="4" customWidth="1"/>
    <col min="38" max="38" width="11.42578125" style="4"/>
    <col min="39" max="39" width="12.5703125" style="4" bestFit="1" customWidth="1"/>
    <col min="40" max="16384" width="11.42578125" style="4"/>
  </cols>
  <sheetData>
    <row r="2" spans="2:39" ht="26.25" x14ac:dyDescent="0.4">
      <c r="B2" s="582" t="s">
        <v>233</v>
      </c>
      <c r="C2" s="582"/>
      <c r="D2" s="582"/>
      <c r="E2" s="582"/>
      <c r="F2" s="582"/>
      <c r="G2" s="582"/>
      <c r="H2" s="582"/>
      <c r="I2" s="582"/>
      <c r="J2" s="582"/>
      <c r="K2" s="582"/>
      <c r="L2" s="582"/>
      <c r="M2" s="582"/>
      <c r="N2" s="582"/>
      <c r="O2" s="582"/>
      <c r="P2" s="582"/>
      <c r="Q2" s="582"/>
      <c r="R2" s="582"/>
      <c r="S2" s="582"/>
      <c r="T2" s="582"/>
      <c r="U2" s="582"/>
      <c r="V2" s="582"/>
      <c r="W2" s="582"/>
      <c r="X2" s="582"/>
      <c r="Y2" s="582"/>
      <c r="Z2" s="582"/>
      <c r="AA2" s="582"/>
      <c r="AB2" s="582"/>
      <c r="AC2" s="582"/>
      <c r="AD2" s="582"/>
      <c r="AE2" s="582"/>
      <c r="AG2" s="511" t="s">
        <v>259</v>
      </c>
    </row>
    <row r="3" spans="2:39" ht="29.25" customHeight="1" thickBot="1" x14ac:dyDescent="0.25">
      <c r="B3" s="557" t="s">
        <v>264</v>
      </c>
      <c r="C3" s="557"/>
      <c r="D3" s="557"/>
      <c r="E3" s="557"/>
      <c r="F3" s="557"/>
      <c r="G3" s="557"/>
      <c r="H3" s="557"/>
      <c r="I3" s="557"/>
      <c r="J3" s="557"/>
      <c r="K3" s="557"/>
      <c r="L3" s="557"/>
      <c r="M3" s="557"/>
      <c r="N3" s="557"/>
      <c r="O3" s="557"/>
      <c r="P3" s="557"/>
      <c r="Q3" s="557"/>
      <c r="R3" s="557"/>
      <c r="S3" s="557"/>
      <c r="T3" s="557"/>
      <c r="U3" s="557"/>
      <c r="V3" s="557"/>
      <c r="W3" s="557"/>
      <c r="X3" s="557"/>
      <c r="Y3" s="557"/>
      <c r="Z3" s="557"/>
      <c r="AA3" s="557"/>
      <c r="AB3" s="557"/>
      <c r="AC3" s="557"/>
      <c r="AD3" s="557"/>
      <c r="AE3" s="557"/>
    </row>
    <row r="4" spans="2:39" ht="16.5" customHeight="1" x14ac:dyDescent="0.25">
      <c r="B4" s="574" t="s">
        <v>230</v>
      </c>
      <c r="C4" s="595" t="s">
        <v>12</v>
      </c>
      <c r="D4" s="577" t="s">
        <v>231</v>
      </c>
      <c r="E4" s="490" t="s">
        <v>2</v>
      </c>
      <c r="F4" s="583" t="s">
        <v>3</v>
      </c>
      <c r="G4" s="584"/>
      <c r="H4" s="584"/>
      <c r="I4" s="584"/>
      <c r="J4" s="584"/>
      <c r="K4" s="584"/>
      <c r="L4" s="584"/>
      <c r="M4" s="585"/>
      <c r="N4" s="491"/>
      <c r="O4" s="492" t="s">
        <v>4</v>
      </c>
      <c r="P4" s="493"/>
      <c r="Q4" s="586" t="s">
        <v>5</v>
      </c>
      <c r="R4" s="587"/>
      <c r="S4" s="587"/>
      <c r="T4" s="587"/>
      <c r="U4" s="587"/>
      <c r="V4" s="588"/>
      <c r="W4" s="492" t="s">
        <v>6</v>
      </c>
      <c r="X4" s="492" t="s">
        <v>7</v>
      </c>
      <c r="Y4" s="491"/>
      <c r="Z4" s="494" t="s">
        <v>8</v>
      </c>
      <c r="AA4" s="589" t="s">
        <v>9</v>
      </c>
      <c r="AB4" s="590"/>
      <c r="AC4" s="590"/>
      <c r="AD4" s="591"/>
      <c r="AE4" s="495" t="s">
        <v>10</v>
      </c>
      <c r="AF4" s="611" t="s">
        <v>251</v>
      </c>
      <c r="AG4" s="598" t="s">
        <v>35</v>
      </c>
      <c r="AH4" s="599"/>
      <c r="AI4" s="473"/>
    </row>
    <row r="5" spans="2:39" ht="15" x14ac:dyDescent="0.25">
      <c r="B5" s="575"/>
      <c r="C5" s="596"/>
      <c r="D5" s="578"/>
      <c r="E5" s="580" t="s">
        <v>14</v>
      </c>
      <c r="F5" s="496" t="s">
        <v>2</v>
      </c>
      <c r="G5" s="496" t="s">
        <v>15</v>
      </c>
      <c r="H5" s="496" t="s">
        <v>15</v>
      </c>
      <c r="I5" s="496" t="s">
        <v>16</v>
      </c>
      <c r="J5" s="496" t="s">
        <v>4</v>
      </c>
      <c r="K5" s="496" t="s">
        <v>17</v>
      </c>
      <c r="L5" s="496" t="s">
        <v>17</v>
      </c>
      <c r="M5" s="496" t="s">
        <v>18</v>
      </c>
      <c r="N5" s="497"/>
      <c r="O5" s="498" t="s">
        <v>19</v>
      </c>
      <c r="P5" s="499" t="s">
        <v>20</v>
      </c>
      <c r="Q5" s="499" t="s">
        <v>21</v>
      </c>
      <c r="R5" s="499" t="s">
        <v>22</v>
      </c>
      <c r="S5" s="499" t="s">
        <v>23</v>
      </c>
      <c r="T5" s="499" t="s">
        <v>24</v>
      </c>
      <c r="U5" s="499" t="s">
        <v>25</v>
      </c>
      <c r="V5" s="499" t="s">
        <v>7</v>
      </c>
      <c r="W5" s="498" t="s">
        <v>26</v>
      </c>
      <c r="X5" s="498" t="s">
        <v>27</v>
      </c>
      <c r="Y5" s="497"/>
      <c r="Z5" s="500" t="s">
        <v>28</v>
      </c>
      <c r="AA5" s="592" t="s">
        <v>7</v>
      </c>
      <c r="AB5" s="501" t="s">
        <v>30</v>
      </c>
      <c r="AC5" s="593" t="s">
        <v>181</v>
      </c>
      <c r="AD5" s="496" t="s">
        <v>33</v>
      </c>
      <c r="AE5" s="502" t="s">
        <v>34</v>
      </c>
      <c r="AF5" s="612"/>
      <c r="AG5" s="600"/>
      <c r="AH5" s="601"/>
      <c r="AI5" s="474"/>
    </row>
    <row r="6" spans="2:39" ht="15.75" thickBot="1" x14ac:dyDescent="0.3">
      <c r="B6" s="576"/>
      <c r="C6" s="597"/>
      <c r="D6" s="579"/>
      <c r="E6" s="581"/>
      <c r="F6" s="503" t="s">
        <v>36</v>
      </c>
      <c r="G6" s="503" t="s">
        <v>37</v>
      </c>
      <c r="H6" s="503" t="s">
        <v>38</v>
      </c>
      <c r="I6" s="503"/>
      <c r="J6" s="503" t="s">
        <v>19</v>
      </c>
      <c r="K6" s="503" t="s">
        <v>39</v>
      </c>
      <c r="L6" s="503" t="s">
        <v>40</v>
      </c>
      <c r="M6" s="503" t="s">
        <v>41</v>
      </c>
      <c r="N6" s="504"/>
      <c r="O6" s="505" t="s">
        <v>42</v>
      </c>
      <c r="P6" s="506" t="s">
        <v>43</v>
      </c>
      <c r="Q6" s="506" t="s">
        <v>44</v>
      </c>
      <c r="R6" s="506" t="s">
        <v>45</v>
      </c>
      <c r="S6" s="506" t="s">
        <v>45</v>
      </c>
      <c r="T6" s="506" t="s">
        <v>46</v>
      </c>
      <c r="U6" s="506" t="s">
        <v>47</v>
      </c>
      <c r="V6" s="506" t="s">
        <v>48</v>
      </c>
      <c r="W6" s="505" t="s">
        <v>49</v>
      </c>
      <c r="X6" s="507" t="s">
        <v>50</v>
      </c>
      <c r="Y6" s="508"/>
      <c r="Z6" s="503" t="s">
        <v>51</v>
      </c>
      <c r="AA6" s="581"/>
      <c r="AB6" s="509"/>
      <c r="AC6" s="594"/>
      <c r="AD6" s="503" t="s">
        <v>54</v>
      </c>
      <c r="AE6" s="510" t="s">
        <v>55</v>
      </c>
      <c r="AF6" s="613"/>
      <c r="AG6" s="602"/>
      <c r="AH6" s="603"/>
      <c r="AI6" s="475"/>
    </row>
    <row r="7" spans="2:39" ht="30" customHeight="1" x14ac:dyDescent="0.2">
      <c r="B7" s="388"/>
      <c r="C7" s="345" t="s">
        <v>56</v>
      </c>
      <c r="D7" s="423"/>
      <c r="E7" s="424"/>
      <c r="F7" s="425"/>
      <c r="G7" s="424"/>
      <c r="H7" s="424"/>
      <c r="I7" s="424"/>
      <c r="J7" s="424"/>
      <c r="K7" s="424"/>
      <c r="L7" s="424"/>
      <c r="M7" s="424"/>
      <c r="N7" s="424"/>
      <c r="O7" s="426"/>
      <c r="P7" s="426"/>
      <c r="Q7" s="426"/>
      <c r="R7" s="426"/>
      <c r="S7" s="426"/>
      <c r="T7" s="426"/>
      <c r="U7" s="426"/>
      <c r="V7" s="426"/>
      <c r="W7" s="426"/>
      <c r="X7" s="426"/>
      <c r="Y7" s="427"/>
      <c r="Z7" s="424"/>
      <c r="AA7" s="424"/>
      <c r="AB7" s="424"/>
      <c r="AC7" s="424"/>
      <c r="AD7" s="424"/>
      <c r="AE7" s="428"/>
      <c r="AF7" s="429"/>
      <c r="AG7" s="31"/>
      <c r="AH7" s="31"/>
      <c r="AI7" s="360"/>
    </row>
    <row r="8" spans="2:39" s="154" customFormat="1" ht="42" customHeight="1" x14ac:dyDescent="0.2">
      <c r="B8" s="361">
        <v>1</v>
      </c>
      <c r="C8" s="341" t="s">
        <v>189</v>
      </c>
      <c r="D8" s="328" t="s">
        <v>57</v>
      </c>
      <c r="E8" s="329">
        <v>912.34</v>
      </c>
      <c r="F8" s="330">
        <v>13685.13</v>
      </c>
      <c r="G8" s="329">
        <v>0</v>
      </c>
      <c r="H8" s="329">
        <f t="shared" ref="H8" si="0">G8</f>
        <v>0</v>
      </c>
      <c r="I8" s="329">
        <v>0</v>
      </c>
      <c r="J8" s="329">
        <v>0</v>
      </c>
      <c r="K8" s="329">
        <v>0</v>
      </c>
      <c r="L8" s="329"/>
      <c r="M8" s="331">
        <f>F8+L8+Z8</f>
        <v>13685.13</v>
      </c>
      <c r="N8" s="331"/>
      <c r="O8" s="332">
        <f t="shared" ref="O8" si="1">IF(E8=47.16,0,IF(E8&gt;47.16,J8*0.5,0))</f>
        <v>0</v>
      </c>
      <c r="P8" s="332">
        <f t="shared" ref="P8" si="2">F8+G8+H8+K8+O8+I8</f>
        <v>13685.13</v>
      </c>
      <c r="Q8" s="332">
        <f t="shared" ref="Q8" si="3">VLOOKUP(P8,Tarifa1,1)</f>
        <v>9418.8799999999992</v>
      </c>
      <c r="R8" s="332">
        <f t="shared" ref="R8" si="4">P8-Q8</f>
        <v>4266.25</v>
      </c>
      <c r="S8" s="332">
        <f t="shared" ref="S8" si="5">VLOOKUP(P8,Tarifa1,3)</f>
        <v>0.3</v>
      </c>
      <c r="T8" s="332">
        <f t="shared" ref="T8" si="6">R8*S8</f>
        <v>1279.875</v>
      </c>
      <c r="U8" s="332">
        <f t="shared" ref="U8" si="7">VLOOKUP(P8,Tarifa1,2)</f>
        <v>1767.15</v>
      </c>
      <c r="V8" s="332">
        <f t="shared" ref="V8" si="8">T8+U8</f>
        <v>3047.0250000000001</v>
      </c>
      <c r="W8" s="332">
        <f t="shared" ref="W8" si="9">VLOOKUP(P8,Credito1,2)</f>
        <v>0</v>
      </c>
      <c r="X8" s="332">
        <f t="shared" ref="X8" si="10">V8-W8</f>
        <v>3047.0250000000001</v>
      </c>
      <c r="Y8" s="330"/>
      <c r="Z8" s="331"/>
      <c r="AA8" s="331">
        <v>2322.44</v>
      </c>
      <c r="AB8" s="331"/>
      <c r="AC8" s="331"/>
      <c r="AD8" s="331">
        <f>AC8+AB8+AA8</f>
        <v>2322.44</v>
      </c>
      <c r="AE8" s="330">
        <f>M8-AA8</f>
        <v>11362.689999999999</v>
      </c>
      <c r="AF8" s="399" t="s">
        <v>252</v>
      </c>
      <c r="AG8" s="541" t="s">
        <v>258</v>
      </c>
      <c r="AH8" s="542"/>
      <c r="AI8" s="362"/>
      <c r="AJ8" s="152"/>
      <c r="AK8" s="153"/>
    </row>
    <row r="9" spans="2:39" s="154" customFormat="1" ht="42" customHeight="1" x14ac:dyDescent="0.2">
      <c r="B9" s="361">
        <v>2</v>
      </c>
      <c r="C9" s="341" t="s">
        <v>190</v>
      </c>
      <c r="D9" s="328" t="s">
        <v>57</v>
      </c>
      <c r="E9" s="329">
        <v>912.34</v>
      </c>
      <c r="F9" s="330">
        <v>13685.13</v>
      </c>
      <c r="G9" s="329">
        <v>0</v>
      </c>
      <c r="H9" s="329">
        <f t="shared" ref="H9:H19" si="11">G9</f>
        <v>0</v>
      </c>
      <c r="I9" s="329">
        <v>0</v>
      </c>
      <c r="J9" s="329">
        <v>0</v>
      </c>
      <c r="K9" s="329">
        <v>0</v>
      </c>
      <c r="L9" s="329"/>
      <c r="M9" s="331">
        <f>F9+L9+Z9</f>
        <v>13685.13</v>
      </c>
      <c r="N9" s="331"/>
      <c r="O9" s="332">
        <f t="shared" ref="O9:O19" si="12">IF(E9=47.16,0,IF(E9&gt;47.16,J9*0.5,0))</f>
        <v>0</v>
      </c>
      <c r="P9" s="332">
        <f t="shared" ref="P9:P19" si="13">F9+G9+H9+K9+O9+I9</f>
        <v>13685.13</v>
      </c>
      <c r="Q9" s="332">
        <f t="shared" ref="Q9:Q19" si="14">VLOOKUP(P9,Tarifa1,1)</f>
        <v>9418.8799999999992</v>
      </c>
      <c r="R9" s="332">
        <f t="shared" ref="R9:R19" si="15">P9-Q9</f>
        <v>4266.25</v>
      </c>
      <c r="S9" s="332">
        <f t="shared" ref="S9:S19" si="16">VLOOKUP(P9,Tarifa1,3)</f>
        <v>0.3</v>
      </c>
      <c r="T9" s="332">
        <f t="shared" ref="T9:T19" si="17">R9*S9</f>
        <v>1279.875</v>
      </c>
      <c r="U9" s="332">
        <f t="shared" ref="U9:U19" si="18">VLOOKUP(P9,Tarifa1,2)</f>
        <v>1767.15</v>
      </c>
      <c r="V9" s="332">
        <f t="shared" ref="V9:V19" si="19">T9+U9</f>
        <v>3047.0250000000001</v>
      </c>
      <c r="W9" s="332">
        <f t="shared" ref="W9:W19" si="20">VLOOKUP(P9,Credito1,2)</f>
        <v>0</v>
      </c>
      <c r="X9" s="332">
        <f t="shared" ref="X9:X19" si="21">V9-W9</f>
        <v>3047.0250000000001</v>
      </c>
      <c r="Y9" s="330"/>
      <c r="Z9" s="331"/>
      <c r="AA9" s="331">
        <v>2322.44</v>
      </c>
      <c r="AB9" s="331"/>
      <c r="AC9" s="331"/>
      <c r="AD9" s="331">
        <f t="shared" ref="AD9:AD17" si="22">AC9+AB9+AA9</f>
        <v>2322.44</v>
      </c>
      <c r="AE9" s="330">
        <f t="shared" ref="AE9:AE17" si="23">M9-AA9</f>
        <v>11362.689999999999</v>
      </c>
      <c r="AF9" s="399" t="s">
        <v>252</v>
      </c>
      <c r="AG9" s="541"/>
      <c r="AH9" s="542"/>
      <c r="AI9" s="362"/>
      <c r="AK9" s="153"/>
      <c r="AM9" s="153"/>
    </row>
    <row r="10" spans="2:39" s="154" customFormat="1" ht="45" customHeight="1" x14ac:dyDescent="0.2">
      <c r="B10" s="361">
        <v>3</v>
      </c>
      <c r="C10" s="341" t="s">
        <v>191</v>
      </c>
      <c r="D10" s="328" t="s">
        <v>57</v>
      </c>
      <c r="E10" s="329">
        <v>912.34</v>
      </c>
      <c r="F10" s="330">
        <v>13685.13</v>
      </c>
      <c r="G10" s="329">
        <v>0</v>
      </c>
      <c r="H10" s="329">
        <f t="shared" si="11"/>
        <v>0</v>
      </c>
      <c r="I10" s="329">
        <v>0</v>
      </c>
      <c r="J10" s="329">
        <v>0</v>
      </c>
      <c r="K10" s="329">
        <v>0</v>
      </c>
      <c r="L10" s="329"/>
      <c r="M10" s="331">
        <f t="shared" ref="M10:M19" si="24">F10+L10+Z10</f>
        <v>13685.13</v>
      </c>
      <c r="N10" s="331"/>
      <c r="O10" s="332">
        <f t="shared" si="12"/>
        <v>0</v>
      </c>
      <c r="P10" s="332">
        <f t="shared" si="13"/>
        <v>13685.13</v>
      </c>
      <c r="Q10" s="332">
        <f t="shared" si="14"/>
        <v>9418.8799999999992</v>
      </c>
      <c r="R10" s="332">
        <f t="shared" si="15"/>
        <v>4266.25</v>
      </c>
      <c r="S10" s="332">
        <f t="shared" si="16"/>
        <v>0.3</v>
      </c>
      <c r="T10" s="332">
        <f t="shared" si="17"/>
        <v>1279.875</v>
      </c>
      <c r="U10" s="332">
        <f t="shared" si="18"/>
        <v>1767.15</v>
      </c>
      <c r="V10" s="332">
        <f t="shared" si="19"/>
        <v>3047.0250000000001</v>
      </c>
      <c r="W10" s="332">
        <f t="shared" si="20"/>
        <v>0</v>
      </c>
      <c r="X10" s="332">
        <f t="shared" si="21"/>
        <v>3047.0250000000001</v>
      </c>
      <c r="Y10" s="330"/>
      <c r="Z10" s="331"/>
      <c r="AA10" s="331">
        <v>2322.44</v>
      </c>
      <c r="AB10" s="331"/>
      <c r="AC10" s="331"/>
      <c r="AD10" s="331">
        <f t="shared" si="22"/>
        <v>2322.44</v>
      </c>
      <c r="AE10" s="330">
        <f t="shared" si="23"/>
        <v>11362.689999999999</v>
      </c>
      <c r="AF10" s="399" t="s">
        <v>252</v>
      </c>
      <c r="AG10" s="541"/>
      <c r="AH10" s="542"/>
      <c r="AI10" s="362"/>
      <c r="AK10" s="153"/>
    </row>
    <row r="11" spans="2:39" s="154" customFormat="1" ht="44.25" customHeight="1" x14ac:dyDescent="0.2">
      <c r="B11" s="361">
        <v>4</v>
      </c>
      <c r="C11" s="341" t="s">
        <v>192</v>
      </c>
      <c r="D11" s="328" t="s">
        <v>57</v>
      </c>
      <c r="E11" s="329">
        <v>912.34</v>
      </c>
      <c r="F11" s="330">
        <v>13685.13</v>
      </c>
      <c r="G11" s="329">
        <v>0</v>
      </c>
      <c r="H11" s="329">
        <f t="shared" si="11"/>
        <v>0</v>
      </c>
      <c r="I11" s="329">
        <v>0</v>
      </c>
      <c r="J11" s="329">
        <v>0</v>
      </c>
      <c r="K11" s="329">
        <v>0</v>
      </c>
      <c r="L11" s="329"/>
      <c r="M11" s="331">
        <f t="shared" si="24"/>
        <v>13685.13</v>
      </c>
      <c r="N11" s="331"/>
      <c r="O11" s="332">
        <f t="shared" si="12"/>
        <v>0</v>
      </c>
      <c r="P11" s="332">
        <f t="shared" si="13"/>
        <v>13685.13</v>
      </c>
      <c r="Q11" s="332">
        <f t="shared" si="14"/>
        <v>9418.8799999999992</v>
      </c>
      <c r="R11" s="332">
        <f t="shared" si="15"/>
        <v>4266.25</v>
      </c>
      <c r="S11" s="332">
        <f t="shared" si="16"/>
        <v>0.3</v>
      </c>
      <c r="T11" s="332">
        <f t="shared" si="17"/>
        <v>1279.875</v>
      </c>
      <c r="U11" s="332">
        <f t="shared" si="18"/>
        <v>1767.15</v>
      </c>
      <c r="V11" s="332">
        <f t="shared" si="19"/>
        <v>3047.0250000000001</v>
      </c>
      <c r="W11" s="332">
        <f t="shared" si="20"/>
        <v>0</v>
      </c>
      <c r="X11" s="332">
        <f t="shared" si="21"/>
        <v>3047.0250000000001</v>
      </c>
      <c r="Y11" s="330"/>
      <c r="Z11" s="331"/>
      <c r="AA11" s="331">
        <v>2322.44</v>
      </c>
      <c r="AB11" s="331"/>
      <c r="AC11" s="331"/>
      <c r="AD11" s="331">
        <f t="shared" si="22"/>
        <v>2322.44</v>
      </c>
      <c r="AE11" s="330">
        <f t="shared" si="23"/>
        <v>11362.689999999999</v>
      </c>
      <c r="AF11" s="399" t="s">
        <v>252</v>
      </c>
      <c r="AG11" s="541"/>
      <c r="AH11" s="542"/>
      <c r="AI11" s="362"/>
      <c r="AK11" s="153"/>
    </row>
    <row r="12" spans="2:39" s="154" customFormat="1" ht="43.5" customHeight="1" x14ac:dyDescent="0.2">
      <c r="B12" s="361">
        <v>5</v>
      </c>
      <c r="C12" s="341" t="s">
        <v>193</v>
      </c>
      <c r="D12" s="328" t="s">
        <v>57</v>
      </c>
      <c r="E12" s="329">
        <v>912.34</v>
      </c>
      <c r="F12" s="330">
        <v>13685.13</v>
      </c>
      <c r="G12" s="329">
        <v>0</v>
      </c>
      <c r="H12" s="329">
        <f t="shared" si="11"/>
        <v>0</v>
      </c>
      <c r="I12" s="329">
        <v>0</v>
      </c>
      <c r="J12" s="329">
        <v>0</v>
      </c>
      <c r="K12" s="329">
        <v>0</v>
      </c>
      <c r="L12" s="329"/>
      <c r="M12" s="331">
        <f t="shared" si="24"/>
        <v>13685.13</v>
      </c>
      <c r="N12" s="331"/>
      <c r="O12" s="332">
        <f t="shared" si="12"/>
        <v>0</v>
      </c>
      <c r="P12" s="332">
        <f t="shared" si="13"/>
        <v>13685.13</v>
      </c>
      <c r="Q12" s="332">
        <f t="shared" si="14"/>
        <v>9418.8799999999992</v>
      </c>
      <c r="R12" s="332">
        <f t="shared" si="15"/>
        <v>4266.25</v>
      </c>
      <c r="S12" s="332">
        <f t="shared" si="16"/>
        <v>0.3</v>
      </c>
      <c r="T12" s="332">
        <f t="shared" si="17"/>
        <v>1279.875</v>
      </c>
      <c r="U12" s="332">
        <f t="shared" si="18"/>
        <v>1767.15</v>
      </c>
      <c r="V12" s="332">
        <f t="shared" si="19"/>
        <v>3047.0250000000001</v>
      </c>
      <c r="W12" s="332">
        <f t="shared" si="20"/>
        <v>0</v>
      </c>
      <c r="X12" s="332">
        <f t="shared" si="21"/>
        <v>3047.0250000000001</v>
      </c>
      <c r="Y12" s="330"/>
      <c r="Z12" s="331"/>
      <c r="AA12" s="331">
        <v>2322.44</v>
      </c>
      <c r="AB12" s="331"/>
      <c r="AC12" s="331"/>
      <c r="AD12" s="331">
        <f t="shared" si="22"/>
        <v>2322.44</v>
      </c>
      <c r="AE12" s="330">
        <f t="shared" si="23"/>
        <v>11362.689999999999</v>
      </c>
      <c r="AF12" s="399" t="s">
        <v>252</v>
      </c>
      <c r="AG12" s="541"/>
      <c r="AH12" s="542"/>
      <c r="AI12" s="362"/>
      <c r="AK12" s="153"/>
    </row>
    <row r="13" spans="2:39" s="154" customFormat="1" ht="43.5" customHeight="1" x14ac:dyDescent="0.2">
      <c r="B13" s="361">
        <v>6</v>
      </c>
      <c r="C13" s="341" t="s">
        <v>194</v>
      </c>
      <c r="D13" s="328" t="s">
        <v>57</v>
      </c>
      <c r="E13" s="329">
        <v>912.34</v>
      </c>
      <c r="F13" s="330">
        <v>13685.13</v>
      </c>
      <c r="G13" s="329">
        <v>0</v>
      </c>
      <c r="H13" s="329">
        <f t="shared" si="11"/>
        <v>0</v>
      </c>
      <c r="I13" s="329">
        <v>0</v>
      </c>
      <c r="J13" s="329">
        <v>0</v>
      </c>
      <c r="K13" s="329">
        <v>0</v>
      </c>
      <c r="L13" s="329"/>
      <c r="M13" s="331">
        <f t="shared" si="24"/>
        <v>13685.13</v>
      </c>
      <c r="N13" s="331"/>
      <c r="O13" s="332">
        <f t="shared" si="12"/>
        <v>0</v>
      </c>
      <c r="P13" s="332">
        <f t="shared" si="13"/>
        <v>13685.13</v>
      </c>
      <c r="Q13" s="332">
        <f t="shared" si="14"/>
        <v>9418.8799999999992</v>
      </c>
      <c r="R13" s="332">
        <f t="shared" si="15"/>
        <v>4266.25</v>
      </c>
      <c r="S13" s="332">
        <f t="shared" si="16"/>
        <v>0.3</v>
      </c>
      <c r="T13" s="332">
        <f t="shared" si="17"/>
        <v>1279.875</v>
      </c>
      <c r="U13" s="332">
        <f t="shared" si="18"/>
        <v>1767.15</v>
      </c>
      <c r="V13" s="332">
        <f t="shared" si="19"/>
        <v>3047.0250000000001</v>
      </c>
      <c r="W13" s="332">
        <f t="shared" si="20"/>
        <v>0</v>
      </c>
      <c r="X13" s="332">
        <f t="shared" si="21"/>
        <v>3047.0250000000001</v>
      </c>
      <c r="Y13" s="330"/>
      <c r="Z13" s="331"/>
      <c r="AA13" s="331">
        <v>2322.44</v>
      </c>
      <c r="AB13" s="331"/>
      <c r="AC13" s="331"/>
      <c r="AD13" s="331">
        <f t="shared" si="22"/>
        <v>2322.44</v>
      </c>
      <c r="AE13" s="330">
        <f t="shared" si="23"/>
        <v>11362.689999999999</v>
      </c>
      <c r="AF13" s="399" t="s">
        <v>252</v>
      </c>
      <c r="AG13" s="541"/>
      <c r="AH13" s="542"/>
      <c r="AI13" s="362"/>
      <c r="AK13" s="153"/>
    </row>
    <row r="14" spans="2:39" s="154" customFormat="1" ht="44.25" customHeight="1" x14ac:dyDescent="0.2">
      <c r="B14" s="361">
        <v>7</v>
      </c>
      <c r="C14" s="341" t="s">
        <v>195</v>
      </c>
      <c r="D14" s="328" t="s">
        <v>57</v>
      </c>
      <c r="E14" s="329">
        <v>912.34</v>
      </c>
      <c r="F14" s="330">
        <v>13685.13</v>
      </c>
      <c r="G14" s="329">
        <v>0</v>
      </c>
      <c r="H14" s="329">
        <f t="shared" si="11"/>
        <v>0</v>
      </c>
      <c r="I14" s="329">
        <v>0</v>
      </c>
      <c r="J14" s="329">
        <v>0</v>
      </c>
      <c r="K14" s="329">
        <v>0</v>
      </c>
      <c r="L14" s="329"/>
      <c r="M14" s="331">
        <f t="shared" si="24"/>
        <v>13685.13</v>
      </c>
      <c r="N14" s="331"/>
      <c r="O14" s="332">
        <f t="shared" si="12"/>
        <v>0</v>
      </c>
      <c r="P14" s="332">
        <f t="shared" si="13"/>
        <v>13685.13</v>
      </c>
      <c r="Q14" s="332">
        <f t="shared" si="14"/>
        <v>9418.8799999999992</v>
      </c>
      <c r="R14" s="332">
        <f t="shared" si="15"/>
        <v>4266.25</v>
      </c>
      <c r="S14" s="332">
        <f t="shared" si="16"/>
        <v>0.3</v>
      </c>
      <c r="T14" s="332">
        <f t="shared" si="17"/>
        <v>1279.875</v>
      </c>
      <c r="U14" s="332">
        <f t="shared" si="18"/>
        <v>1767.15</v>
      </c>
      <c r="V14" s="332">
        <f t="shared" si="19"/>
        <v>3047.0250000000001</v>
      </c>
      <c r="W14" s="332">
        <f t="shared" si="20"/>
        <v>0</v>
      </c>
      <c r="X14" s="332">
        <f t="shared" si="21"/>
        <v>3047.0250000000001</v>
      </c>
      <c r="Y14" s="330"/>
      <c r="Z14" s="331"/>
      <c r="AA14" s="331">
        <v>2322.44</v>
      </c>
      <c r="AB14" s="331"/>
      <c r="AC14" s="331"/>
      <c r="AD14" s="331">
        <f t="shared" si="22"/>
        <v>2322.44</v>
      </c>
      <c r="AE14" s="330">
        <f t="shared" si="23"/>
        <v>11362.689999999999</v>
      </c>
      <c r="AF14" s="399" t="s">
        <v>252</v>
      </c>
      <c r="AG14" s="541"/>
      <c r="AH14" s="542"/>
      <c r="AI14" s="362"/>
      <c r="AK14" s="153"/>
    </row>
    <row r="15" spans="2:39" s="154" customFormat="1" ht="44.25" customHeight="1" x14ac:dyDescent="0.2">
      <c r="B15" s="361">
        <v>8</v>
      </c>
      <c r="C15" s="342" t="s">
        <v>196</v>
      </c>
      <c r="D15" s="328" t="s">
        <v>57</v>
      </c>
      <c r="E15" s="329">
        <v>912.34</v>
      </c>
      <c r="F15" s="330">
        <v>13685.13</v>
      </c>
      <c r="G15" s="329">
        <v>0</v>
      </c>
      <c r="H15" s="329">
        <f>G15</f>
        <v>0</v>
      </c>
      <c r="I15" s="329">
        <v>0</v>
      </c>
      <c r="J15" s="329">
        <v>0</v>
      </c>
      <c r="K15" s="329">
        <v>0</v>
      </c>
      <c r="L15" s="329"/>
      <c r="M15" s="331">
        <f>F15+L15+Z15</f>
        <v>13685.13</v>
      </c>
      <c r="N15" s="331"/>
      <c r="O15" s="332">
        <f>IF(E15=47.16,0,IF(E15&gt;47.16,J15*0.5,0))</f>
        <v>0</v>
      </c>
      <c r="P15" s="332">
        <f>F15+G15+H15+K15+O15+I15</f>
        <v>13685.13</v>
      </c>
      <c r="Q15" s="332">
        <f>VLOOKUP(P15,Tarifa1,1)</f>
        <v>9418.8799999999992</v>
      </c>
      <c r="R15" s="332">
        <f>P15-Q15</f>
        <v>4266.25</v>
      </c>
      <c r="S15" s="332">
        <f>VLOOKUP(P15,Tarifa1,3)</f>
        <v>0.3</v>
      </c>
      <c r="T15" s="332">
        <f>R15*S15</f>
        <v>1279.875</v>
      </c>
      <c r="U15" s="332">
        <f>VLOOKUP(P15,Tarifa1,2)</f>
        <v>1767.15</v>
      </c>
      <c r="V15" s="332">
        <f>T15+U15</f>
        <v>3047.0250000000001</v>
      </c>
      <c r="W15" s="332">
        <f>VLOOKUP(P15,Credito1,2)</f>
        <v>0</v>
      </c>
      <c r="X15" s="332">
        <f>V15-W15</f>
        <v>3047.0250000000001</v>
      </c>
      <c r="Y15" s="330"/>
      <c r="Z15" s="331"/>
      <c r="AA15" s="331">
        <v>2322.44</v>
      </c>
      <c r="AB15" s="331"/>
      <c r="AC15" s="331"/>
      <c r="AD15" s="331">
        <f>AC15+AB15+AA15</f>
        <v>2322.44</v>
      </c>
      <c r="AE15" s="330">
        <f>M15-AA15</f>
        <v>11362.689999999999</v>
      </c>
      <c r="AF15" s="399" t="s">
        <v>252</v>
      </c>
      <c r="AG15" s="541"/>
      <c r="AH15" s="542"/>
      <c r="AI15" s="362"/>
      <c r="AK15" s="153"/>
    </row>
    <row r="16" spans="2:39" s="154" customFormat="1" ht="40.5" customHeight="1" x14ac:dyDescent="0.2">
      <c r="B16" s="361">
        <v>9</v>
      </c>
      <c r="C16" s="397" t="s">
        <v>256</v>
      </c>
      <c r="D16" s="417" t="s">
        <v>57</v>
      </c>
      <c r="E16" s="329">
        <v>912.34</v>
      </c>
      <c r="F16" s="330">
        <v>13685.13</v>
      </c>
      <c r="G16" s="381"/>
      <c r="H16" s="381"/>
      <c r="I16" s="381"/>
      <c r="J16" s="381"/>
      <c r="K16" s="381"/>
      <c r="L16" s="381"/>
      <c r="M16" s="331">
        <f>F16+L16+Z16</f>
        <v>13685.13</v>
      </c>
      <c r="N16" s="381"/>
      <c r="O16" s="381"/>
      <c r="P16" s="381"/>
      <c r="Q16" s="381"/>
      <c r="R16" s="381"/>
      <c r="S16" s="381"/>
      <c r="T16" s="381"/>
      <c r="U16" s="381"/>
      <c r="V16" s="381"/>
      <c r="W16" s="381"/>
      <c r="X16" s="381"/>
      <c r="Y16" s="381"/>
      <c r="Z16" s="381"/>
      <c r="AA16" s="331">
        <v>2322.44</v>
      </c>
      <c r="AB16" s="381"/>
      <c r="AC16" s="381"/>
      <c r="AD16" s="331">
        <f>AC16+AB16+AA16</f>
        <v>2322.44</v>
      </c>
      <c r="AE16" s="330">
        <f>M16-AA16</f>
        <v>11362.689999999999</v>
      </c>
      <c r="AF16" s="399" t="s">
        <v>252</v>
      </c>
      <c r="AG16" s="541"/>
      <c r="AH16" s="542"/>
      <c r="AI16" s="362"/>
      <c r="AK16" s="153"/>
    </row>
    <row r="17" spans="1:37" s="154" customFormat="1" ht="40.5" customHeight="1" x14ac:dyDescent="0.2">
      <c r="B17" s="361">
        <v>10</v>
      </c>
      <c r="C17" s="342" t="s">
        <v>203</v>
      </c>
      <c r="D17" s="230" t="s">
        <v>234</v>
      </c>
      <c r="E17" s="329">
        <v>235.43</v>
      </c>
      <c r="F17" s="333">
        <v>3531.39</v>
      </c>
      <c r="G17" s="329"/>
      <c r="H17" s="329"/>
      <c r="I17" s="329"/>
      <c r="J17" s="329"/>
      <c r="K17" s="329"/>
      <c r="L17" s="329"/>
      <c r="M17" s="331">
        <f t="shared" si="24"/>
        <v>3531.39</v>
      </c>
      <c r="N17" s="331"/>
      <c r="O17" s="332"/>
      <c r="P17" s="332"/>
      <c r="Q17" s="332"/>
      <c r="R17" s="332"/>
      <c r="S17" s="332"/>
      <c r="T17" s="332"/>
      <c r="U17" s="332"/>
      <c r="V17" s="332"/>
      <c r="W17" s="332"/>
      <c r="X17" s="332"/>
      <c r="Y17" s="330"/>
      <c r="Z17" s="331"/>
      <c r="AA17" s="331">
        <v>262.81</v>
      </c>
      <c r="AB17" s="331"/>
      <c r="AC17" s="331"/>
      <c r="AD17" s="331">
        <f t="shared" si="22"/>
        <v>262.81</v>
      </c>
      <c r="AE17" s="330">
        <f t="shared" si="23"/>
        <v>3268.58</v>
      </c>
      <c r="AF17" s="399" t="s">
        <v>252</v>
      </c>
      <c r="AG17" s="541"/>
      <c r="AH17" s="542"/>
      <c r="AI17" s="362"/>
      <c r="AK17" s="153"/>
    </row>
    <row r="18" spans="1:37" s="154" customFormat="1" ht="35.25" customHeight="1" x14ac:dyDescent="0.2">
      <c r="B18" s="361"/>
      <c r="C18" s="343" t="s">
        <v>58</v>
      </c>
      <c r="D18" s="225"/>
      <c r="E18" s="329"/>
      <c r="F18" s="330"/>
      <c r="G18" s="329">
        <v>0</v>
      </c>
      <c r="H18" s="329">
        <f t="shared" si="11"/>
        <v>0</v>
      </c>
      <c r="I18" s="329">
        <v>0</v>
      </c>
      <c r="J18" s="329">
        <v>0</v>
      </c>
      <c r="K18" s="329"/>
      <c r="L18" s="329"/>
      <c r="M18" s="331"/>
      <c r="N18" s="331"/>
      <c r="O18" s="332">
        <f t="shared" si="12"/>
        <v>0</v>
      </c>
      <c r="P18" s="332">
        <f t="shared" si="13"/>
        <v>0</v>
      </c>
      <c r="Q18" s="332" t="e">
        <f t="shared" si="14"/>
        <v>#N/A</v>
      </c>
      <c r="R18" s="332" t="e">
        <f t="shared" si="15"/>
        <v>#N/A</v>
      </c>
      <c r="S18" s="332" t="e">
        <f t="shared" si="16"/>
        <v>#N/A</v>
      </c>
      <c r="T18" s="332" t="e">
        <f t="shared" si="17"/>
        <v>#N/A</v>
      </c>
      <c r="U18" s="332" t="e">
        <f t="shared" si="18"/>
        <v>#N/A</v>
      </c>
      <c r="V18" s="332" t="e">
        <f t="shared" si="19"/>
        <v>#N/A</v>
      </c>
      <c r="W18" s="332" t="e">
        <f t="shared" si="20"/>
        <v>#N/A</v>
      </c>
      <c r="X18" s="332" t="e">
        <f t="shared" si="21"/>
        <v>#N/A</v>
      </c>
      <c r="Y18" s="330"/>
      <c r="Z18" s="331"/>
      <c r="AA18" s="331"/>
      <c r="AB18" s="331"/>
      <c r="AC18" s="331"/>
      <c r="AD18" s="331"/>
      <c r="AE18" s="330"/>
      <c r="AF18" s="400"/>
      <c r="AG18" s="541"/>
      <c r="AH18" s="542"/>
      <c r="AI18" s="362"/>
      <c r="AK18" s="153"/>
    </row>
    <row r="19" spans="1:37" s="157" customFormat="1" ht="48" customHeight="1" x14ac:dyDescent="0.2">
      <c r="B19" s="363">
        <v>11</v>
      </c>
      <c r="C19" s="342" t="s">
        <v>197</v>
      </c>
      <c r="D19" s="225" t="s">
        <v>59</v>
      </c>
      <c r="E19" s="421">
        <v>1239.81</v>
      </c>
      <c r="F19" s="335">
        <v>18597.169999999998</v>
      </c>
      <c r="G19" s="334">
        <v>0</v>
      </c>
      <c r="H19" s="334">
        <f t="shared" si="11"/>
        <v>0</v>
      </c>
      <c r="I19" s="334">
        <v>0</v>
      </c>
      <c r="J19" s="334">
        <v>0</v>
      </c>
      <c r="K19" s="334">
        <v>0</v>
      </c>
      <c r="L19" s="334"/>
      <c r="M19" s="336">
        <f t="shared" si="24"/>
        <v>18597.169999999998</v>
      </c>
      <c r="N19" s="336"/>
      <c r="O19" s="336">
        <f t="shared" si="12"/>
        <v>0</v>
      </c>
      <c r="P19" s="336">
        <f t="shared" si="13"/>
        <v>18597.169999999998</v>
      </c>
      <c r="Q19" s="336">
        <f t="shared" si="14"/>
        <v>9418.8799999999992</v>
      </c>
      <c r="R19" s="336">
        <f t="shared" si="15"/>
        <v>9178.2899999999991</v>
      </c>
      <c r="S19" s="336">
        <f t="shared" si="16"/>
        <v>0.3</v>
      </c>
      <c r="T19" s="336">
        <f t="shared" si="17"/>
        <v>2753.4869999999996</v>
      </c>
      <c r="U19" s="336">
        <f t="shared" si="18"/>
        <v>1767.15</v>
      </c>
      <c r="V19" s="336">
        <f t="shared" si="19"/>
        <v>4520.6369999999997</v>
      </c>
      <c r="W19" s="336">
        <f t="shared" si="20"/>
        <v>0</v>
      </c>
      <c r="X19" s="336">
        <f t="shared" si="21"/>
        <v>4520.6369999999997</v>
      </c>
      <c r="Y19" s="336"/>
      <c r="Z19" s="336"/>
      <c r="AA19" s="336">
        <v>3477.73</v>
      </c>
      <c r="AB19" s="336"/>
      <c r="AC19" s="336"/>
      <c r="AD19" s="336">
        <f>AA19</f>
        <v>3477.73</v>
      </c>
      <c r="AE19" s="336">
        <f>M19-AD19</f>
        <v>15119.439999999999</v>
      </c>
      <c r="AF19" s="399" t="s">
        <v>252</v>
      </c>
      <c r="AG19" s="539"/>
      <c r="AH19" s="540"/>
      <c r="AI19" s="364"/>
      <c r="AK19" s="160"/>
    </row>
    <row r="20" spans="1:37" s="154" customFormat="1" ht="39.75" customHeight="1" thickBot="1" x14ac:dyDescent="0.25">
      <c r="B20" s="365"/>
      <c r="C20" s="430" t="s">
        <v>60</v>
      </c>
      <c r="D20" s="430"/>
      <c r="E20" s="431">
        <f>E8+E9+E10+E11+E12+E13+E14+E15+E17+E19</f>
        <v>8773.9600000000009</v>
      </c>
      <c r="F20" s="431">
        <f>F8+F9+F10+F11+F12+F13+F14+F15+F16+F17+F19</f>
        <v>145294.73000000001</v>
      </c>
      <c r="G20" s="431">
        <f t="shared" ref="G20:AE20" si="25">G8+G9+G10+G11+G12+G13+G14+G15+G16+G17+G19</f>
        <v>0</v>
      </c>
      <c r="H20" s="431">
        <f t="shared" si="25"/>
        <v>0</v>
      </c>
      <c r="I20" s="431">
        <f t="shared" si="25"/>
        <v>0</v>
      </c>
      <c r="J20" s="431">
        <f t="shared" si="25"/>
        <v>0</v>
      </c>
      <c r="K20" s="431">
        <f t="shared" si="25"/>
        <v>0</v>
      </c>
      <c r="L20" s="431">
        <f t="shared" si="25"/>
        <v>0</v>
      </c>
      <c r="M20" s="431">
        <f t="shared" si="25"/>
        <v>145294.73000000001</v>
      </c>
      <c r="N20" s="431">
        <f t="shared" si="25"/>
        <v>0</v>
      </c>
      <c r="O20" s="431">
        <f t="shared" si="25"/>
        <v>0</v>
      </c>
      <c r="P20" s="431">
        <f t="shared" si="25"/>
        <v>128078.21</v>
      </c>
      <c r="Q20" s="431">
        <f t="shared" si="25"/>
        <v>84769.919999999998</v>
      </c>
      <c r="R20" s="431">
        <f t="shared" si="25"/>
        <v>43308.29</v>
      </c>
      <c r="S20" s="431">
        <f t="shared" si="25"/>
        <v>2.6999999999999997</v>
      </c>
      <c r="T20" s="431">
        <f t="shared" si="25"/>
        <v>12992.486999999999</v>
      </c>
      <c r="U20" s="431">
        <f t="shared" si="25"/>
        <v>15904.349999999999</v>
      </c>
      <c r="V20" s="431">
        <f t="shared" si="25"/>
        <v>28896.837000000003</v>
      </c>
      <c r="W20" s="431">
        <f t="shared" si="25"/>
        <v>0</v>
      </c>
      <c r="X20" s="431">
        <f t="shared" si="25"/>
        <v>28896.837000000003</v>
      </c>
      <c r="Y20" s="431">
        <f t="shared" si="25"/>
        <v>0</v>
      </c>
      <c r="Z20" s="431">
        <f t="shared" si="25"/>
        <v>0</v>
      </c>
      <c r="AA20" s="431">
        <f t="shared" si="25"/>
        <v>24642.5</v>
      </c>
      <c r="AB20" s="431">
        <f t="shared" si="25"/>
        <v>0</v>
      </c>
      <c r="AC20" s="431">
        <f t="shared" si="25"/>
        <v>0</v>
      </c>
      <c r="AD20" s="431">
        <f t="shared" si="25"/>
        <v>24642.5</v>
      </c>
      <c r="AE20" s="431">
        <f t="shared" si="25"/>
        <v>120652.23000000001</v>
      </c>
      <c r="AF20" s="417"/>
      <c r="AG20" s="541"/>
      <c r="AH20" s="542"/>
      <c r="AI20" s="368"/>
      <c r="AJ20" s="150"/>
      <c r="AK20" s="162"/>
    </row>
    <row r="21" spans="1:37" s="154" customFormat="1" ht="35.25" customHeight="1" x14ac:dyDescent="0.2">
      <c r="B21" s="163"/>
      <c r="C21" s="164"/>
      <c r="D21" s="164"/>
      <c r="E21" s="163"/>
      <c r="F21" s="163"/>
      <c r="G21" s="165"/>
      <c r="H21" s="165"/>
      <c r="I21" s="165"/>
      <c r="J21" s="165"/>
      <c r="K21" s="165"/>
      <c r="L21" s="163"/>
      <c r="M21" s="163"/>
      <c r="N21" s="165"/>
      <c r="O21" s="165"/>
      <c r="P21" s="165"/>
      <c r="Q21" s="165"/>
      <c r="R21" s="165"/>
      <c r="S21" s="165"/>
      <c r="T21" s="165"/>
      <c r="U21" s="165"/>
      <c r="V21" s="165"/>
      <c r="W21" s="165"/>
      <c r="X21" s="165"/>
      <c r="Y21" s="165"/>
      <c r="Z21" s="163"/>
      <c r="AA21" s="163"/>
      <c r="AB21" s="163"/>
      <c r="AC21" s="163"/>
      <c r="AD21" s="163"/>
      <c r="AE21" s="347"/>
      <c r="AF21" s="385"/>
      <c r="AG21" s="150"/>
      <c r="AH21" s="150"/>
      <c r="AI21" s="150"/>
      <c r="AJ21" s="150"/>
      <c r="AK21" s="150"/>
    </row>
    <row r="22" spans="1:37" s="154" customFormat="1" ht="33" customHeight="1" x14ac:dyDescent="0.2">
      <c r="B22" s="163"/>
      <c r="C22" s="164"/>
      <c r="D22" s="164"/>
      <c r="E22" s="163"/>
      <c r="F22" s="163"/>
      <c r="G22" s="165"/>
      <c r="H22" s="165"/>
      <c r="I22" s="165"/>
      <c r="J22" s="165"/>
      <c r="K22" s="165"/>
      <c r="L22" s="163"/>
      <c r="M22" s="163"/>
      <c r="N22" s="165"/>
      <c r="O22" s="165"/>
      <c r="P22" s="165"/>
      <c r="Q22" s="165"/>
      <c r="R22" s="165"/>
      <c r="S22" s="165"/>
      <c r="T22" s="165"/>
      <c r="U22" s="165"/>
      <c r="V22" s="165"/>
      <c r="W22" s="165"/>
      <c r="X22" s="165"/>
      <c r="Y22" s="165"/>
      <c r="Z22" s="163"/>
      <c r="AA22" s="163"/>
      <c r="AB22" s="163"/>
      <c r="AC22" s="163"/>
      <c r="AD22" s="163"/>
      <c r="AE22" s="164"/>
      <c r="AF22" s="385"/>
      <c r="AG22" s="150"/>
      <c r="AH22" s="150"/>
      <c r="AI22" s="150"/>
    </row>
    <row r="23" spans="1:37" s="154" customFormat="1" ht="13.15" hidden="1" customHeight="1" x14ac:dyDescent="0.2">
      <c r="A23" s="166"/>
      <c r="B23" s="164"/>
      <c r="C23" s="164"/>
      <c r="D23" s="164"/>
      <c r="E23" s="164"/>
      <c r="F23" s="164"/>
      <c r="G23" s="165"/>
      <c r="H23" s="165"/>
      <c r="I23" s="165"/>
      <c r="J23" s="165"/>
      <c r="K23" s="165"/>
      <c r="L23" s="164"/>
      <c r="M23" s="164"/>
      <c r="N23" s="165"/>
      <c r="O23" s="165"/>
      <c r="P23" s="165"/>
      <c r="Q23" s="165"/>
      <c r="R23" s="165"/>
      <c r="S23" s="165"/>
      <c r="T23" s="165"/>
      <c r="U23" s="165"/>
      <c r="V23" s="165"/>
      <c r="W23" s="165"/>
      <c r="X23" s="165"/>
      <c r="Y23" s="165"/>
      <c r="Z23" s="164"/>
      <c r="AA23" s="164"/>
      <c r="AB23" s="164"/>
      <c r="AC23" s="164"/>
      <c r="AD23" s="164"/>
      <c r="AE23" s="164"/>
      <c r="AF23" s="385"/>
      <c r="AG23" s="150"/>
      <c r="AH23" s="150"/>
      <c r="AI23" s="150"/>
    </row>
    <row r="24" spans="1:37" s="154" customFormat="1" ht="34.9" hidden="1" customHeight="1" x14ac:dyDescent="0.2">
      <c r="A24" s="166"/>
      <c r="B24" s="164"/>
      <c r="C24" s="157"/>
      <c r="D24" s="166"/>
      <c r="AC24" s="164"/>
      <c r="AD24" s="164"/>
      <c r="AE24" s="164"/>
      <c r="AF24" s="227"/>
      <c r="AG24" s="167"/>
      <c r="AH24" s="167"/>
      <c r="AI24" s="167"/>
    </row>
    <row r="25" spans="1:37" s="154" customFormat="1" ht="34.9" hidden="1" customHeight="1" x14ac:dyDescent="0.2">
      <c r="A25" s="166"/>
      <c r="B25" s="164"/>
      <c r="C25" s="157"/>
      <c r="D25" s="166"/>
      <c r="AC25" s="164"/>
      <c r="AD25" s="164"/>
      <c r="AE25" s="164"/>
      <c r="AF25" s="227"/>
      <c r="AG25" s="167"/>
      <c r="AH25" s="167"/>
      <c r="AI25" s="167"/>
    </row>
    <row r="26" spans="1:37" s="154" customFormat="1" ht="43.9" customHeight="1" x14ac:dyDescent="0.2">
      <c r="A26" s="166"/>
      <c r="B26" s="164"/>
      <c r="C26" s="546"/>
      <c r="D26" s="546"/>
      <c r="E26" s="164"/>
      <c r="F26" s="164"/>
      <c r="G26" s="165"/>
      <c r="H26" s="165"/>
      <c r="I26" s="165"/>
      <c r="J26" s="165"/>
      <c r="K26" s="165"/>
      <c r="L26" s="229"/>
      <c r="M26" s="229"/>
      <c r="N26" s="165"/>
      <c r="O26" s="165"/>
      <c r="P26" s="165"/>
      <c r="Q26" s="165"/>
      <c r="R26" s="165"/>
      <c r="S26" s="165"/>
      <c r="T26" s="165"/>
      <c r="U26" s="165"/>
      <c r="V26" s="165"/>
      <c r="W26" s="165"/>
      <c r="X26" s="165"/>
      <c r="Y26" s="165"/>
      <c r="Z26" s="229"/>
      <c r="AA26" s="168"/>
      <c r="AB26" s="168"/>
      <c r="AC26" s="168"/>
      <c r="AD26" s="168"/>
      <c r="AE26" s="168"/>
      <c r="AF26" s="227"/>
      <c r="AG26" s="167"/>
      <c r="AH26" s="167"/>
      <c r="AI26" s="167"/>
    </row>
    <row r="27" spans="1:37" s="154" customFormat="1" ht="35.25" customHeight="1" x14ac:dyDescent="0.2">
      <c r="A27" s="166"/>
      <c r="B27" s="164"/>
      <c r="C27" s="543" t="s">
        <v>159</v>
      </c>
      <c r="D27" s="543"/>
      <c r="E27" s="171"/>
      <c r="F27" s="171"/>
      <c r="G27" s="171"/>
      <c r="H27" s="171"/>
      <c r="I27" s="171"/>
      <c r="J27" s="171"/>
      <c r="K27" s="171"/>
      <c r="M27" s="344"/>
      <c r="N27" s="344"/>
      <c r="O27" s="344"/>
      <c r="P27" s="344"/>
      <c r="Q27" s="344"/>
      <c r="R27" s="344"/>
      <c r="S27" s="344"/>
      <c r="T27" s="344"/>
      <c r="U27" s="344"/>
      <c r="V27" s="344"/>
      <c r="W27" s="344"/>
      <c r="X27" s="344"/>
      <c r="Y27" s="344"/>
      <c r="Z27" s="344"/>
      <c r="AA27" s="543" t="s">
        <v>247</v>
      </c>
      <c r="AB27" s="543"/>
      <c r="AC27" s="543"/>
      <c r="AD27" s="543"/>
      <c r="AE27" s="543"/>
      <c r="AF27" s="227"/>
      <c r="AG27" s="167"/>
      <c r="AH27" s="167"/>
      <c r="AI27" s="167"/>
    </row>
    <row r="28" spans="1:37" s="154" customFormat="1" ht="35.25" customHeight="1" x14ac:dyDescent="0.2">
      <c r="A28" s="166"/>
      <c r="B28" s="164"/>
      <c r="C28" s="545" t="s">
        <v>198</v>
      </c>
      <c r="D28" s="545"/>
      <c r="E28" s="171"/>
      <c r="F28" s="171"/>
      <c r="G28" s="171"/>
      <c r="H28" s="171"/>
      <c r="I28" s="171"/>
      <c r="J28" s="171"/>
      <c r="K28" s="171"/>
      <c r="M28" s="344"/>
      <c r="N28" s="344"/>
      <c r="O28" s="344"/>
      <c r="P28" s="344"/>
      <c r="Q28" s="344"/>
      <c r="R28" s="344"/>
      <c r="S28" s="344"/>
      <c r="T28" s="344"/>
      <c r="U28" s="344"/>
      <c r="V28" s="344"/>
      <c r="W28" s="344"/>
      <c r="X28" s="344"/>
      <c r="Y28" s="344"/>
      <c r="Z28" s="344"/>
      <c r="AA28" s="344" t="s">
        <v>199</v>
      </c>
      <c r="AB28" s="172"/>
      <c r="AC28" s="172"/>
      <c r="AD28" s="172"/>
      <c r="AE28" s="172"/>
      <c r="AF28" s="172"/>
      <c r="AG28" s="167"/>
      <c r="AH28" s="167"/>
      <c r="AI28" s="167"/>
    </row>
    <row r="29" spans="1:37" s="154" customFormat="1" ht="34.15" customHeight="1" x14ac:dyDescent="0.2">
      <c r="A29" s="166"/>
      <c r="B29" s="164"/>
      <c r="C29" s="171"/>
      <c r="D29" s="170"/>
      <c r="E29" s="171"/>
      <c r="F29" s="171"/>
      <c r="G29" s="171"/>
      <c r="H29" s="171"/>
      <c r="I29" s="171"/>
      <c r="J29" s="171"/>
      <c r="K29" s="171"/>
      <c r="L29" s="171"/>
      <c r="M29" s="171"/>
      <c r="N29" s="173"/>
      <c r="O29" s="173"/>
      <c r="P29" s="173"/>
      <c r="Q29" s="173"/>
      <c r="R29" s="173"/>
      <c r="S29" s="173"/>
      <c r="T29" s="173"/>
      <c r="U29" s="173"/>
      <c r="V29" s="173"/>
      <c r="W29" s="173"/>
      <c r="X29" s="173"/>
      <c r="Y29" s="173"/>
      <c r="Z29" s="170"/>
      <c r="AA29" s="171"/>
      <c r="AB29" s="171"/>
      <c r="AC29" s="164"/>
      <c r="AD29" s="164"/>
      <c r="AE29" s="164"/>
      <c r="AF29" s="227"/>
      <c r="AG29" s="167"/>
      <c r="AH29" s="167"/>
      <c r="AI29" s="167"/>
    </row>
    <row r="30" spans="1:37" s="154" customFormat="1" ht="35.25" hidden="1" customHeight="1" x14ac:dyDescent="0.2">
      <c r="B30" s="174"/>
      <c r="C30" s="175"/>
      <c r="D30" s="175"/>
      <c r="E30" s="176"/>
      <c r="F30" s="176"/>
      <c r="G30" s="177"/>
      <c r="H30" s="177"/>
      <c r="I30" s="177"/>
      <c r="J30" s="177"/>
      <c r="K30" s="177"/>
      <c r="L30" s="176"/>
      <c r="M30" s="176"/>
      <c r="N30" s="177"/>
      <c r="O30" s="177"/>
      <c r="P30" s="177"/>
      <c r="Q30" s="177"/>
      <c r="R30" s="177"/>
      <c r="S30" s="177"/>
      <c r="T30" s="177"/>
      <c r="U30" s="177"/>
      <c r="V30" s="177"/>
      <c r="W30" s="177"/>
      <c r="X30" s="177"/>
      <c r="Y30" s="177"/>
      <c r="Z30" s="176"/>
      <c r="AA30" s="176"/>
      <c r="AB30" s="176"/>
      <c r="AC30" s="174"/>
      <c r="AD30" s="174"/>
      <c r="AE30" s="175"/>
      <c r="AF30" s="401" t="s">
        <v>63</v>
      </c>
      <c r="AG30" s="150"/>
      <c r="AH30" s="150"/>
      <c r="AI30" s="151"/>
    </row>
    <row r="31" spans="1:37" s="154" customFormat="1" ht="34.9" hidden="1" customHeight="1" x14ac:dyDescent="0.2">
      <c r="B31" s="163"/>
      <c r="C31" s="164"/>
      <c r="D31" s="164"/>
      <c r="E31" s="163"/>
      <c r="F31" s="163"/>
      <c r="G31" s="165"/>
      <c r="H31" s="165"/>
      <c r="I31" s="165"/>
      <c r="J31" s="165"/>
      <c r="K31" s="165"/>
      <c r="L31" s="163"/>
      <c r="M31" s="163"/>
      <c r="N31" s="165"/>
      <c r="O31" s="165"/>
      <c r="P31" s="165"/>
      <c r="Q31" s="165"/>
      <c r="R31" s="165"/>
      <c r="S31" s="165"/>
      <c r="T31" s="165"/>
      <c r="U31" s="165"/>
      <c r="V31" s="165"/>
      <c r="W31" s="165"/>
      <c r="X31" s="165"/>
      <c r="Y31" s="165"/>
      <c r="Z31" s="163"/>
      <c r="AA31" s="163"/>
      <c r="AB31" s="163"/>
      <c r="AC31" s="163"/>
      <c r="AD31" s="163"/>
      <c r="AE31" s="164"/>
      <c r="AF31" s="385"/>
      <c r="AG31" s="150"/>
      <c r="AH31" s="150"/>
      <c r="AI31" s="150"/>
    </row>
    <row r="32" spans="1:37" s="154" customFormat="1" ht="34.9" hidden="1" customHeight="1" x14ac:dyDescent="0.2">
      <c r="B32" s="163"/>
      <c r="C32" s="164"/>
      <c r="D32" s="164"/>
      <c r="E32" s="163"/>
      <c r="F32" s="163"/>
      <c r="G32" s="165"/>
      <c r="H32" s="165"/>
      <c r="I32" s="165"/>
      <c r="J32" s="165"/>
      <c r="K32" s="165"/>
      <c r="L32" s="163"/>
      <c r="M32" s="163"/>
      <c r="N32" s="165"/>
      <c r="O32" s="165"/>
      <c r="P32" s="165"/>
      <c r="Q32" s="165"/>
      <c r="R32" s="165"/>
      <c r="S32" s="165"/>
      <c r="T32" s="165"/>
      <c r="U32" s="165"/>
      <c r="V32" s="165"/>
      <c r="W32" s="165"/>
      <c r="X32" s="165"/>
      <c r="Y32" s="165"/>
      <c r="Z32" s="163"/>
      <c r="AA32" s="163"/>
      <c r="AB32" s="163"/>
      <c r="AC32" s="163"/>
      <c r="AD32" s="163"/>
      <c r="AE32" s="164"/>
      <c r="AF32" s="385"/>
      <c r="AG32" s="150"/>
      <c r="AH32" s="150"/>
      <c r="AI32" s="150"/>
    </row>
    <row r="33" spans="2:35" s="154" customFormat="1" ht="35.25" customHeight="1" x14ac:dyDescent="0.2">
      <c r="B33" s="556" t="s">
        <v>0</v>
      </c>
      <c r="C33" s="556"/>
      <c r="D33" s="556"/>
      <c r="E33" s="556"/>
      <c r="F33" s="556"/>
      <c r="G33" s="556"/>
      <c r="H33" s="556"/>
      <c r="I33" s="556"/>
      <c r="J33" s="556"/>
      <c r="K33" s="556"/>
      <c r="L33" s="556"/>
      <c r="M33" s="556"/>
      <c r="N33" s="556"/>
      <c r="O33" s="556"/>
      <c r="P33" s="556"/>
      <c r="Q33" s="556"/>
      <c r="R33" s="556"/>
      <c r="S33" s="556"/>
      <c r="T33" s="556"/>
      <c r="U33" s="556"/>
      <c r="V33" s="556"/>
      <c r="W33" s="556"/>
      <c r="X33" s="556"/>
      <c r="Y33" s="556"/>
      <c r="Z33" s="556"/>
      <c r="AA33" s="556"/>
      <c r="AB33" s="556"/>
      <c r="AC33" s="556"/>
      <c r="AD33" s="556"/>
      <c r="AE33" s="556"/>
      <c r="AF33" s="385"/>
      <c r="AG33" s="532" t="s">
        <v>260</v>
      </c>
      <c r="AH33" s="150"/>
      <c r="AI33" s="150"/>
    </row>
    <row r="34" spans="2:35" s="154" customFormat="1" ht="35.25" customHeight="1" thickBot="1" x14ac:dyDescent="0.25">
      <c r="B34" s="557" t="s">
        <v>265</v>
      </c>
      <c r="C34" s="557"/>
      <c r="D34" s="557"/>
      <c r="E34" s="557"/>
      <c r="F34" s="557"/>
      <c r="G34" s="557"/>
      <c r="H34" s="557"/>
      <c r="I34" s="557"/>
      <c r="J34" s="557"/>
      <c r="K34" s="557"/>
      <c r="L34" s="557"/>
      <c r="M34" s="557"/>
      <c r="N34" s="557"/>
      <c r="O34" s="557"/>
      <c r="P34" s="557"/>
      <c r="Q34" s="557"/>
      <c r="R34" s="557"/>
      <c r="S34" s="557"/>
      <c r="T34" s="557"/>
      <c r="U34" s="557"/>
      <c r="V34" s="557"/>
      <c r="W34" s="557"/>
      <c r="X34" s="557"/>
      <c r="Y34" s="557"/>
      <c r="Z34" s="557"/>
      <c r="AA34" s="557"/>
      <c r="AB34" s="557"/>
      <c r="AC34" s="557"/>
      <c r="AD34" s="557"/>
      <c r="AE34" s="557"/>
      <c r="AF34" s="385"/>
      <c r="AG34" s="150"/>
      <c r="AH34" s="150"/>
      <c r="AI34" s="150"/>
    </row>
    <row r="35" spans="2:35" s="154" customFormat="1" ht="24.75" customHeight="1" x14ac:dyDescent="0.2">
      <c r="B35" s="512"/>
      <c r="C35" s="513"/>
      <c r="D35" s="514" t="s">
        <v>1</v>
      </c>
      <c r="E35" s="515" t="s">
        <v>2</v>
      </c>
      <c r="F35" s="548" t="s">
        <v>3</v>
      </c>
      <c r="G35" s="549"/>
      <c r="H35" s="549"/>
      <c r="I35" s="549"/>
      <c r="J35" s="549"/>
      <c r="K35" s="549"/>
      <c r="L35" s="549"/>
      <c r="M35" s="550"/>
      <c r="N35" s="516"/>
      <c r="O35" s="517" t="s">
        <v>4</v>
      </c>
      <c r="P35" s="518"/>
      <c r="Q35" s="548" t="s">
        <v>5</v>
      </c>
      <c r="R35" s="549"/>
      <c r="S35" s="549"/>
      <c r="T35" s="549"/>
      <c r="U35" s="549"/>
      <c r="V35" s="550"/>
      <c r="W35" s="517" t="s">
        <v>6</v>
      </c>
      <c r="X35" s="517" t="s">
        <v>7</v>
      </c>
      <c r="Y35" s="516"/>
      <c r="Z35" s="515" t="s">
        <v>8</v>
      </c>
      <c r="AA35" s="548" t="s">
        <v>9</v>
      </c>
      <c r="AB35" s="565"/>
      <c r="AC35" s="549"/>
      <c r="AD35" s="550"/>
      <c r="AE35" s="519" t="s">
        <v>10</v>
      </c>
      <c r="AF35" s="604" t="s">
        <v>251</v>
      </c>
      <c r="AG35" s="606" t="s">
        <v>35</v>
      </c>
      <c r="AH35" s="607"/>
      <c r="AI35" s="370"/>
    </row>
    <row r="36" spans="2:35" s="154" customFormat="1" ht="19.5" customHeight="1" x14ac:dyDescent="0.2">
      <c r="B36" s="520" t="s">
        <v>245</v>
      </c>
      <c r="C36" s="521" t="s">
        <v>12</v>
      </c>
      <c r="D36" s="558" t="s">
        <v>13</v>
      </c>
      <c r="E36" s="522" t="s">
        <v>14</v>
      </c>
      <c r="F36" s="523" t="s">
        <v>2</v>
      </c>
      <c r="G36" s="524" t="s">
        <v>15</v>
      </c>
      <c r="H36" s="524" t="s">
        <v>15</v>
      </c>
      <c r="I36" s="524" t="s">
        <v>16</v>
      </c>
      <c r="J36" s="524" t="s">
        <v>4</v>
      </c>
      <c r="K36" s="524" t="s">
        <v>17</v>
      </c>
      <c r="L36" s="523" t="s">
        <v>17</v>
      </c>
      <c r="M36" s="523" t="s">
        <v>18</v>
      </c>
      <c r="N36" s="525"/>
      <c r="O36" s="526" t="s">
        <v>19</v>
      </c>
      <c r="P36" s="527" t="s">
        <v>20</v>
      </c>
      <c r="Q36" s="527" t="s">
        <v>21</v>
      </c>
      <c r="R36" s="527" t="s">
        <v>22</v>
      </c>
      <c r="S36" s="527" t="s">
        <v>23</v>
      </c>
      <c r="T36" s="527" t="s">
        <v>24</v>
      </c>
      <c r="U36" s="527" t="s">
        <v>25</v>
      </c>
      <c r="V36" s="527" t="s">
        <v>7</v>
      </c>
      <c r="W36" s="526" t="s">
        <v>26</v>
      </c>
      <c r="X36" s="526" t="s">
        <v>27</v>
      </c>
      <c r="Y36" s="525"/>
      <c r="Z36" s="522" t="s">
        <v>28</v>
      </c>
      <c r="AA36" s="559" t="s">
        <v>7</v>
      </c>
      <c r="AB36" s="524" t="s">
        <v>30</v>
      </c>
      <c r="AC36" s="561" t="s">
        <v>32</v>
      </c>
      <c r="AD36" s="524" t="s">
        <v>33</v>
      </c>
      <c r="AE36" s="528" t="s">
        <v>34</v>
      </c>
      <c r="AF36" s="604"/>
      <c r="AG36" s="608"/>
      <c r="AH36" s="609"/>
      <c r="AI36" s="384"/>
    </row>
    <row r="37" spans="2:35" s="154" customFormat="1" ht="19.5" customHeight="1" x14ac:dyDescent="0.2">
      <c r="B37" s="520"/>
      <c r="C37" s="526"/>
      <c r="D37" s="558"/>
      <c r="E37" s="522"/>
      <c r="F37" s="522" t="s">
        <v>36</v>
      </c>
      <c r="G37" s="526" t="s">
        <v>37</v>
      </c>
      <c r="H37" s="526" t="s">
        <v>38</v>
      </c>
      <c r="I37" s="526"/>
      <c r="J37" s="526" t="s">
        <v>19</v>
      </c>
      <c r="K37" s="526" t="s">
        <v>39</v>
      </c>
      <c r="L37" s="522" t="s">
        <v>40</v>
      </c>
      <c r="M37" s="522" t="s">
        <v>41</v>
      </c>
      <c r="N37" s="525"/>
      <c r="O37" s="526" t="s">
        <v>42</v>
      </c>
      <c r="P37" s="524" t="s">
        <v>43</v>
      </c>
      <c r="Q37" s="524" t="s">
        <v>44</v>
      </c>
      <c r="R37" s="524" t="s">
        <v>45</v>
      </c>
      <c r="S37" s="524" t="s">
        <v>45</v>
      </c>
      <c r="T37" s="524" t="s">
        <v>46</v>
      </c>
      <c r="U37" s="524" t="s">
        <v>47</v>
      </c>
      <c r="V37" s="524" t="s">
        <v>48</v>
      </c>
      <c r="W37" s="526" t="s">
        <v>49</v>
      </c>
      <c r="X37" s="529" t="s">
        <v>50</v>
      </c>
      <c r="Y37" s="530"/>
      <c r="Z37" s="522" t="s">
        <v>51</v>
      </c>
      <c r="AA37" s="560"/>
      <c r="AB37" s="531" t="s">
        <v>64</v>
      </c>
      <c r="AC37" s="562"/>
      <c r="AD37" s="526" t="s">
        <v>54</v>
      </c>
      <c r="AE37" s="528" t="s">
        <v>55</v>
      </c>
      <c r="AF37" s="605"/>
      <c r="AG37" s="608"/>
      <c r="AH37" s="609"/>
      <c r="AI37" s="371"/>
    </row>
    <row r="38" spans="2:35" s="154" customFormat="1" ht="34.15" customHeight="1" x14ac:dyDescent="0.2">
      <c r="B38" s="432"/>
      <c r="C38" s="433" t="s">
        <v>65</v>
      </c>
      <c r="D38" s="225"/>
      <c r="E38" s="329"/>
      <c r="F38" s="330"/>
      <c r="G38" s="329">
        <v>0</v>
      </c>
      <c r="H38" s="329">
        <f t="shared" ref="H38:H40" si="26">G38</f>
        <v>0</v>
      </c>
      <c r="I38" s="329">
        <v>0</v>
      </c>
      <c r="J38" s="329">
        <v>0</v>
      </c>
      <c r="K38" s="329"/>
      <c r="L38" s="329"/>
      <c r="M38" s="331"/>
      <c r="N38" s="331"/>
      <c r="O38" s="332">
        <f t="shared" ref="O38:O40" si="27">IF(E38=47.16,0,IF(E38&gt;47.16,J38*0.5,0))</f>
        <v>0</v>
      </c>
      <c r="P38" s="332">
        <f t="shared" ref="P38:P40" si="28">F38+G38+H38+K38+O38+I38</f>
        <v>0</v>
      </c>
      <c r="Q38" s="332" t="e">
        <f t="shared" ref="Q38:Q40" si="29">VLOOKUP(P38,Tarifa1,1)</f>
        <v>#N/A</v>
      </c>
      <c r="R38" s="332" t="e">
        <f t="shared" ref="R38:R40" si="30">P38-Q38</f>
        <v>#N/A</v>
      </c>
      <c r="S38" s="332" t="e">
        <f t="shared" ref="S38:S40" si="31">VLOOKUP(P38,Tarifa1,3)</f>
        <v>#N/A</v>
      </c>
      <c r="T38" s="332" t="e">
        <f t="shared" ref="T38:T40" si="32">R38*S38</f>
        <v>#N/A</v>
      </c>
      <c r="U38" s="332" t="e">
        <f t="shared" ref="U38:U40" si="33">VLOOKUP(P38,Tarifa1,2)</f>
        <v>#N/A</v>
      </c>
      <c r="V38" s="332" t="e">
        <f t="shared" ref="V38:V40" si="34">T38+U38</f>
        <v>#N/A</v>
      </c>
      <c r="W38" s="332" t="e">
        <f t="shared" ref="W38:W40" si="35">VLOOKUP(P38,Credito1,2)</f>
        <v>#N/A</v>
      </c>
      <c r="X38" s="332" t="e">
        <f t="shared" ref="X38:X40" si="36">V38-W38</f>
        <v>#N/A</v>
      </c>
      <c r="Y38" s="330"/>
      <c r="Z38" s="331"/>
      <c r="AA38" s="331"/>
      <c r="AB38" s="331"/>
      <c r="AC38" s="331"/>
      <c r="AD38" s="331"/>
      <c r="AE38" s="434"/>
      <c r="AF38" s="400"/>
      <c r="AG38" s="541"/>
      <c r="AH38" s="542"/>
      <c r="AI38" s="362"/>
    </row>
    <row r="39" spans="2:35" s="166" customFormat="1" ht="40.5" customHeight="1" x14ac:dyDescent="0.2">
      <c r="B39" s="468">
        <v>1</v>
      </c>
      <c r="C39" s="342" t="s">
        <v>200</v>
      </c>
      <c r="D39" s="230" t="s">
        <v>62</v>
      </c>
      <c r="E39" s="436">
        <v>850.69</v>
      </c>
      <c r="F39" s="330">
        <v>12760.28</v>
      </c>
      <c r="G39" s="436">
        <v>0</v>
      </c>
      <c r="H39" s="436">
        <f t="shared" si="26"/>
        <v>0</v>
      </c>
      <c r="I39" s="436">
        <v>0</v>
      </c>
      <c r="J39" s="436">
        <v>0</v>
      </c>
      <c r="K39" s="436">
        <v>0</v>
      </c>
      <c r="L39" s="436"/>
      <c r="M39" s="330">
        <f>F39+L39+Z39</f>
        <v>12760.28</v>
      </c>
      <c r="N39" s="330"/>
      <c r="O39" s="330">
        <f t="shared" si="27"/>
        <v>0</v>
      </c>
      <c r="P39" s="330">
        <f t="shared" si="28"/>
        <v>12760.28</v>
      </c>
      <c r="Q39" s="330">
        <f t="shared" si="29"/>
        <v>9418.8799999999992</v>
      </c>
      <c r="R39" s="330">
        <f t="shared" si="30"/>
        <v>3341.4000000000015</v>
      </c>
      <c r="S39" s="330">
        <f t="shared" si="31"/>
        <v>0.3</v>
      </c>
      <c r="T39" s="330">
        <f t="shared" si="32"/>
        <v>1002.4200000000004</v>
      </c>
      <c r="U39" s="330">
        <f t="shared" si="33"/>
        <v>1767.15</v>
      </c>
      <c r="V39" s="330">
        <f t="shared" si="34"/>
        <v>2769.5700000000006</v>
      </c>
      <c r="W39" s="330">
        <f t="shared" si="35"/>
        <v>0</v>
      </c>
      <c r="X39" s="330">
        <f t="shared" si="36"/>
        <v>2769.5700000000006</v>
      </c>
      <c r="Y39" s="330"/>
      <c r="Z39" s="330"/>
      <c r="AA39" s="437">
        <v>2104.89</v>
      </c>
      <c r="AB39" s="330"/>
      <c r="AC39" s="330"/>
      <c r="AD39" s="330">
        <f>AA39+AC39</f>
        <v>2104.89</v>
      </c>
      <c r="AE39" s="330">
        <f>M39-AD39</f>
        <v>10655.390000000001</v>
      </c>
      <c r="AF39" s="398" t="s">
        <v>253</v>
      </c>
      <c r="AG39" s="539"/>
      <c r="AH39" s="540"/>
      <c r="AI39" s="372"/>
    </row>
    <row r="40" spans="2:35" s="166" customFormat="1" ht="36.75" customHeight="1" x14ac:dyDescent="0.2">
      <c r="B40" s="435">
        <v>2</v>
      </c>
      <c r="C40" s="341" t="s">
        <v>70</v>
      </c>
      <c r="D40" s="328" t="s">
        <v>67</v>
      </c>
      <c r="E40" s="436">
        <v>369.45</v>
      </c>
      <c r="F40" s="330">
        <v>5541.68</v>
      </c>
      <c r="G40" s="436">
        <v>0</v>
      </c>
      <c r="H40" s="436">
        <f t="shared" si="26"/>
        <v>0</v>
      </c>
      <c r="I40" s="436">
        <v>0</v>
      </c>
      <c r="J40" s="436">
        <v>0</v>
      </c>
      <c r="K40" s="436"/>
      <c r="L40" s="436"/>
      <c r="M40" s="330">
        <f t="shared" ref="M40:M43" si="37">F40+L40+Z40</f>
        <v>5541.68</v>
      </c>
      <c r="N40" s="330"/>
      <c r="O40" s="330">
        <f t="shared" si="27"/>
        <v>0</v>
      </c>
      <c r="P40" s="330">
        <f t="shared" si="28"/>
        <v>5541.68</v>
      </c>
      <c r="Q40" s="330">
        <f t="shared" si="29"/>
        <v>2962.9549999999999</v>
      </c>
      <c r="R40" s="330">
        <f t="shared" si="30"/>
        <v>2578.7250000000004</v>
      </c>
      <c r="S40" s="330">
        <f t="shared" si="31"/>
        <v>0.21360000000000001</v>
      </c>
      <c r="T40" s="330">
        <f t="shared" si="32"/>
        <v>550.81566000000009</v>
      </c>
      <c r="U40" s="330">
        <f t="shared" si="33"/>
        <v>313.8</v>
      </c>
      <c r="V40" s="330">
        <f t="shared" si="34"/>
        <v>864.61566000000016</v>
      </c>
      <c r="W40" s="330">
        <f t="shared" si="35"/>
        <v>0</v>
      </c>
      <c r="X40" s="330">
        <f t="shared" si="36"/>
        <v>864.61566000000016</v>
      </c>
      <c r="Y40" s="330"/>
      <c r="Z40" s="330"/>
      <c r="AA40" s="330">
        <v>558.66</v>
      </c>
      <c r="AB40" s="330"/>
      <c r="AC40" s="330"/>
      <c r="AD40" s="330">
        <f t="shared" ref="AD40:AD43" si="38">AA40+AC40</f>
        <v>558.66</v>
      </c>
      <c r="AE40" s="330">
        <f t="shared" ref="AE40:AE43" si="39">M40-AD40</f>
        <v>4983.0200000000004</v>
      </c>
      <c r="AF40" s="399" t="s">
        <v>252</v>
      </c>
      <c r="AG40" s="539"/>
      <c r="AH40" s="540"/>
      <c r="AI40" s="372"/>
    </row>
    <row r="41" spans="2:35" s="166" customFormat="1" ht="36.6" customHeight="1" x14ac:dyDescent="0.2">
      <c r="B41" s="435"/>
      <c r="C41" s="433" t="s">
        <v>68</v>
      </c>
      <c r="D41" s="225"/>
      <c r="E41" s="436"/>
      <c r="F41" s="330"/>
      <c r="G41" s="436">
        <v>1</v>
      </c>
      <c r="H41" s="436">
        <f t="shared" ref="H41:H43" si="40">G41</f>
        <v>1</v>
      </c>
      <c r="I41" s="436">
        <v>0</v>
      </c>
      <c r="J41" s="436">
        <v>0</v>
      </c>
      <c r="K41" s="436"/>
      <c r="L41" s="436"/>
      <c r="M41" s="330"/>
      <c r="N41" s="330"/>
      <c r="O41" s="330">
        <f t="shared" ref="O41:O43" si="41">IF(E41=47.16,0,IF(E41&gt;47.16,J41*0.5,0))</f>
        <v>0</v>
      </c>
      <c r="P41" s="330">
        <f t="shared" ref="P41:P43" si="42">F41+G41+H41+K41+O41+I41</f>
        <v>2</v>
      </c>
      <c r="Q41" s="330">
        <f t="shared" ref="Q41:Q43" si="43">VLOOKUP(P41,Tarifa1,1)</f>
        <v>0.01</v>
      </c>
      <c r="R41" s="330">
        <f t="shared" ref="R41:R43" si="44">P41-Q41</f>
        <v>1.99</v>
      </c>
      <c r="S41" s="330">
        <f t="shared" ref="S41:S43" si="45">VLOOKUP(P41,Tarifa1,3)</f>
        <v>1.9199999999999998E-2</v>
      </c>
      <c r="T41" s="330">
        <f t="shared" ref="T41:T43" si="46">R41*S41</f>
        <v>3.8207999999999999E-2</v>
      </c>
      <c r="U41" s="330">
        <f t="shared" ref="U41:U43" si="47">VLOOKUP(P41,Tarifa1,2)</f>
        <v>0</v>
      </c>
      <c r="V41" s="330">
        <f t="shared" ref="V41:V43" si="48">T41+U41</f>
        <v>3.8207999999999999E-2</v>
      </c>
      <c r="W41" s="330">
        <f t="shared" ref="W41:W43" si="49">VLOOKUP(P41,Credito1,2)</f>
        <v>100.425</v>
      </c>
      <c r="X41" s="330">
        <f t="shared" ref="X41:X43" si="50">V41-W41</f>
        <v>-100.386792</v>
      </c>
      <c r="Y41" s="330"/>
      <c r="Z41" s="330"/>
      <c r="AA41" s="330"/>
      <c r="AB41" s="330"/>
      <c r="AC41" s="330"/>
      <c r="AD41" s="330">
        <f t="shared" si="38"/>
        <v>0</v>
      </c>
      <c r="AE41" s="330">
        <f t="shared" si="39"/>
        <v>0</v>
      </c>
      <c r="AF41" s="346"/>
      <c r="AG41" s="539"/>
      <c r="AH41" s="540"/>
      <c r="AI41" s="372"/>
    </row>
    <row r="42" spans="2:35" s="166" customFormat="1" ht="33" customHeight="1" x14ac:dyDescent="0.2">
      <c r="B42" s="435">
        <v>3</v>
      </c>
      <c r="C42" s="341" t="s">
        <v>201</v>
      </c>
      <c r="D42" s="230" t="s">
        <v>69</v>
      </c>
      <c r="E42" s="436">
        <v>1622.65</v>
      </c>
      <c r="F42" s="330">
        <v>24339.72</v>
      </c>
      <c r="G42" s="436">
        <v>2</v>
      </c>
      <c r="H42" s="436">
        <f t="shared" si="40"/>
        <v>2</v>
      </c>
      <c r="I42" s="436">
        <v>0</v>
      </c>
      <c r="J42" s="436">
        <v>0</v>
      </c>
      <c r="K42" s="436"/>
      <c r="L42" s="436"/>
      <c r="M42" s="330">
        <f t="shared" si="37"/>
        <v>24339.72</v>
      </c>
      <c r="N42" s="330"/>
      <c r="O42" s="330">
        <f t="shared" si="41"/>
        <v>0</v>
      </c>
      <c r="P42" s="330">
        <f t="shared" si="42"/>
        <v>24343.72</v>
      </c>
      <c r="Q42" s="330">
        <f t="shared" si="43"/>
        <v>9418.8799999999992</v>
      </c>
      <c r="R42" s="330">
        <f t="shared" si="44"/>
        <v>14924.840000000002</v>
      </c>
      <c r="S42" s="330">
        <f t="shared" si="45"/>
        <v>0.3</v>
      </c>
      <c r="T42" s="330">
        <f t="shared" si="46"/>
        <v>4477.4520000000002</v>
      </c>
      <c r="U42" s="330">
        <f t="shared" si="47"/>
        <v>1767.15</v>
      </c>
      <c r="V42" s="330">
        <f t="shared" si="48"/>
        <v>6244.6020000000008</v>
      </c>
      <c r="W42" s="330">
        <f t="shared" si="49"/>
        <v>0</v>
      </c>
      <c r="X42" s="330">
        <f t="shared" si="50"/>
        <v>6244.6020000000008</v>
      </c>
      <c r="Y42" s="330"/>
      <c r="Z42" s="330"/>
      <c r="AA42" s="330">
        <v>5184.8900000000003</v>
      </c>
      <c r="AB42" s="330"/>
      <c r="AC42" s="330"/>
      <c r="AD42" s="330">
        <f t="shared" si="38"/>
        <v>5184.8900000000003</v>
      </c>
      <c r="AE42" s="330">
        <f t="shared" si="39"/>
        <v>19154.830000000002</v>
      </c>
      <c r="AF42" s="399" t="s">
        <v>252</v>
      </c>
      <c r="AG42" s="539"/>
      <c r="AH42" s="540"/>
      <c r="AI42" s="372"/>
    </row>
    <row r="43" spans="2:35" s="166" customFormat="1" ht="33" customHeight="1" x14ac:dyDescent="0.2">
      <c r="B43" s="435">
        <v>4</v>
      </c>
      <c r="C43" s="341" t="s">
        <v>246</v>
      </c>
      <c r="D43" s="328" t="s">
        <v>67</v>
      </c>
      <c r="E43" s="436">
        <v>369.45</v>
      </c>
      <c r="F43" s="330">
        <v>5541.68</v>
      </c>
      <c r="G43" s="436">
        <v>0</v>
      </c>
      <c r="H43" s="436">
        <f t="shared" si="40"/>
        <v>0</v>
      </c>
      <c r="I43" s="436">
        <v>0</v>
      </c>
      <c r="J43" s="436">
        <v>0</v>
      </c>
      <c r="K43" s="436"/>
      <c r="L43" s="436"/>
      <c r="M43" s="330">
        <f t="shared" si="37"/>
        <v>5541.68</v>
      </c>
      <c r="N43" s="330"/>
      <c r="O43" s="330">
        <f t="shared" si="41"/>
        <v>0</v>
      </c>
      <c r="P43" s="330">
        <f t="shared" si="42"/>
        <v>5541.68</v>
      </c>
      <c r="Q43" s="330">
        <f t="shared" si="43"/>
        <v>2962.9549999999999</v>
      </c>
      <c r="R43" s="330">
        <f t="shared" si="44"/>
        <v>2578.7250000000004</v>
      </c>
      <c r="S43" s="330">
        <f t="shared" si="45"/>
        <v>0.21360000000000001</v>
      </c>
      <c r="T43" s="330">
        <f t="shared" si="46"/>
        <v>550.81566000000009</v>
      </c>
      <c r="U43" s="330">
        <f t="shared" si="47"/>
        <v>313.8</v>
      </c>
      <c r="V43" s="330">
        <f t="shared" si="48"/>
        <v>864.61566000000016</v>
      </c>
      <c r="W43" s="330">
        <f t="shared" si="49"/>
        <v>0</v>
      </c>
      <c r="X43" s="330">
        <f t="shared" si="50"/>
        <v>864.61566000000016</v>
      </c>
      <c r="Y43" s="330"/>
      <c r="Z43" s="330"/>
      <c r="AA43" s="330">
        <v>558.66</v>
      </c>
      <c r="AB43" s="330"/>
      <c r="AC43" s="330"/>
      <c r="AD43" s="330">
        <f t="shared" si="38"/>
        <v>558.66</v>
      </c>
      <c r="AE43" s="330">
        <f t="shared" si="39"/>
        <v>4983.0200000000004</v>
      </c>
      <c r="AF43" s="399" t="s">
        <v>252</v>
      </c>
      <c r="AG43" s="539"/>
      <c r="AH43" s="540"/>
      <c r="AI43" s="372"/>
    </row>
    <row r="44" spans="2:35" s="166" customFormat="1" ht="40.15" customHeight="1" x14ac:dyDescent="0.2">
      <c r="B44" s="435"/>
      <c r="C44" s="438" t="s">
        <v>103</v>
      </c>
      <c r="D44" s="225"/>
      <c r="E44" s="436"/>
      <c r="F44" s="330"/>
      <c r="G44" s="436">
        <v>4</v>
      </c>
      <c r="H44" s="436">
        <f>G44</f>
        <v>4</v>
      </c>
      <c r="I44" s="436">
        <v>0</v>
      </c>
      <c r="J44" s="436">
        <v>0</v>
      </c>
      <c r="K44" s="436"/>
      <c r="L44" s="436"/>
      <c r="M44" s="330"/>
      <c r="N44" s="330"/>
      <c r="O44" s="330">
        <f t="shared" ref="O44:O50" si="51">IF(E44=47.16,0,IF(E44&gt;47.16,J44*0.5,0))</f>
        <v>0</v>
      </c>
      <c r="P44" s="330">
        <f t="shared" ref="P44:P50" si="52">F44+G44+H44+K44+O44+I44</f>
        <v>8</v>
      </c>
      <c r="Q44" s="330">
        <f t="shared" ref="Q44:Q50" si="53">VLOOKUP(P44,Tarifa1,1)</f>
        <v>0.01</v>
      </c>
      <c r="R44" s="330">
        <f t="shared" ref="R44:R50" si="54">P44-Q44</f>
        <v>7.99</v>
      </c>
      <c r="S44" s="330">
        <f t="shared" ref="S44:S50" si="55">VLOOKUP(P44,Tarifa1,3)</f>
        <v>1.9199999999999998E-2</v>
      </c>
      <c r="T44" s="330">
        <f t="shared" ref="T44:T50" si="56">R44*S44</f>
        <v>0.15340799999999999</v>
      </c>
      <c r="U44" s="330">
        <f t="shared" ref="U44:U50" si="57">VLOOKUP(P44,Tarifa1,2)</f>
        <v>0</v>
      </c>
      <c r="V44" s="330">
        <f t="shared" ref="V44:V50" si="58">T44+U44</f>
        <v>0.15340799999999999</v>
      </c>
      <c r="W44" s="330">
        <f t="shared" ref="W44:W50" si="59">VLOOKUP(P44,Credito1,2)</f>
        <v>100.425</v>
      </c>
      <c r="X44" s="330">
        <f t="shared" ref="X44:X50" si="60">V44-W44</f>
        <v>-100.271592</v>
      </c>
      <c r="Y44" s="330"/>
      <c r="Z44" s="330"/>
      <c r="AA44" s="330"/>
      <c r="AB44" s="330"/>
      <c r="AC44" s="330"/>
      <c r="AD44" s="330">
        <f t="shared" ref="AD44:AD50" si="61">AA44</f>
        <v>0</v>
      </c>
      <c r="AE44" s="330"/>
      <c r="AF44" s="346"/>
      <c r="AG44" s="539"/>
      <c r="AH44" s="540"/>
      <c r="AI44" s="372"/>
    </row>
    <row r="45" spans="2:35" s="166" customFormat="1" ht="30.75" customHeight="1" x14ac:dyDescent="0.2">
      <c r="B45" s="435">
        <v>5</v>
      </c>
      <c r="C45" s="342" t="s">
        <v>209</v>
      </c>
      <c r="D45" s="180" t="s">
        <v>61</v>
      </c>
      <c r="E45" s="436">
        <v>850.69</v>
      </c>
      <c r="F45" s="330">
        <v>12760.28</v>
      </c>
      <c r="G45" s="436">
        <v>3</v>
      </c>
      <c r="H45" s="436">
        <f>G45</f>
        <v>3</v>
      </c>
      <c r="I45" s="436">
        <v>0</v>
      </c>
      <c r="J45" s="436">
        <v>0</v>
      </c>
      <c r="K45" s="436">
        <v>1</v>
      </c>
      <c r="L45" s="436"/>
      <c r="M45" s="330">
        <f t="shared" ref="M45:M50" si="62">F45+L45+Z45</f>
        <v>12760.28</v>
      </c>
      <c r="N45" s="330"/>
      <c r="O45" s="330">
        <f t="shared" si="51"/>
        <v>0</v>
      </c>
      <c r="P45" s="330">
        <f t="shared" si="52"/>
        <v>12767.28</v>
      </c>
      <c r="Q45" s="330">
        <f t="shared" si="53"/>
        <v>9418.8799999999992</v>
      </c>
      <c r="R45" s="330">
        <f t="shared" si="54"/>
        <v>3348.4000000000015</v>
      </c>
      <c r="S45" s="330">
        <f t="shared" si="55"/>
        <v>0.3</v>
      </c>
      <c r="T45" s="330">
        <f t="shared" si="56"/>
        <v>1004.5200000000004</v>
      </c>
      <c r="U45" s="330">
        <f t="shared" si="57"/>
        <v>1767.15</v>
      </c>
      <c r="V45" s="330">
        <f t="shared" si="58"/>
        <v>2771.6700000000005</v>
      </c>
      <c r="W45" s="330">
        <f t="shared" si="59"/>
        <v>0</v>
      </c>
      <c r="X45" s="330">
        <f t="shared" si="60"/>
        <v>2771.6700000000005</v>
      </c>
      <c r="Y45" s="330"/>
      <c r="Z45" s="330"/>
      <c r="AA45" s="330">
        <v>2104.89</v>
      </c>
      <c r="AB45" s="330"/>
      <c r="AC45" s="330"/>
      <c r="AD45" s="330">
        <f t="shared" si="61"/>
        <v>2104.89</v>
      </c>
      <c r="AE45" s="330">
        <f t="shared" ref="AE45:AE50" si="63">M45-AA45</f>
        <v>10655.390000000001</v>
      </c>
      <c r="AF45" s="399" t="s">
        <v>252</v>
      </c>
      <c r="AG45" s="539"/>
      <c r="AH45" s="540"/>
      <c r="AI45" s="372"/>
    </row>
    <row r="46" spans="2:35" s="166" customFormat="1" ht="32.25" customHeight="1" x14ac:dyDescent="0.2">
      <c r="B46" s="435">
        <v>6</v>
      </c>
      <c r="C46" s="341" t="s">
        <v>104</v>
      </c>
      <c r="D46" s="180" t="s">
        <v>105</v>
      </c>
      <c r="E46" s="436">
        <v>414.31</v>
      </c>
      <c r="F46" s="437">
        <v>6214.64</v>
      </c>
      <c r="G46" s="436"/>
      <c r="H46" s="436"/>
      <c r="I46" s="436"/>
      <c r="J46" s="436"/>
      <c r="K46" s="436"/>
      <c r="L46" s="436"/>
      <c r="M46" s="330">
        <f t="shared" si="62"/>
        <v>6214.64</v>
      </c>
      <c r="N46" s="330"/>
      <c r="O46" s="330">
        <f t="shared" si="51"/>
        <v>0</v>
      </c>
      <c r="P46" s="330">
        <f t="shared" si="52"/>
        <v>6214.64</v>
      </c>
      <c r="Q46" s="330">
        <f t="shared" si="53"/>
        <v>5975.93</v>
      </c>
      <c r="R46" s="330">
        <f t="shared" si="54"/>
        <v>238.71000000000004</v>
      </c>
      <c r="S46" s="330">
        <f t="shared" si="55"/>
        <v>0.23519999999999999</v>
      </c>
      <c r="T46" s="330">
        <f t="shared" si="56"/>
        <v>56.14459200000001</v>
      </c>
      <c r="U46" s="330">
        <f t="shared" si="57"/>
        <v>957.375</v>
      </c>
      <c r="V46" s="330">
        <f t="shared" si="58"/>
        <v>1013.519592</v>
      </c>
      <c r="W46" s="330">
        <f t="shared" si="59"/>
        <v>0</v>
      </c>
      <c r="X46" s="330">
        <f t="shared" si="60"/>
        <v>1013.519592</v>
      </c>
      <c r="Y46" s="330"/>
      <c r="Z46" s="330"/>
      <c r="AA46" s="330">
        <v>689.27</v>
      </c>
      <c r="AB46" s="330"/>
      <c r="AC46" s="330"/>
      <c r="AD46" s="330">
        <f t="shared" si="61"/>
        <v>689.27</v>
      </c>
      <c r="AE46" s="330">
        <f t="shared" si="63"/>
        <v>5525.3700000000008</v>
      </c>
      <c r="AF46" s="399" t="s">
        <v>252</v>
      </c>
      <c r="AG46" s="539"/>
      <c r="AH46" s="540"/>
      <c r="AI46" s="372"/>
    </row>
    <row r="47" spans="2:35" s="166" customFormat="1" ht="30" customHeight="1" x14ac:dyDescent="0.2">
      <c r="B47" s="435">
        <v>7</v>
      </c>
      <c r="C47" s="341" t="s">
        <v>106</v>
      </c>
      <c r="D47" s="180" t="s">
        <v>238</v>
      </c>
      <c r="E47" s="436">
        <v>295.31</v>
      </c>
      <c r="F47" s="330">
        <v>4444.58</v>
      </c>
      <c r="G47" s="436">
        <v>9</v>
      </c>
      <c r="H47" s="436">
        <f>G47</f>
        <v>9</v>
      </c>
      <c r="I47" s="436">
        <v>0</v>
      </c>
      <c r="J47" s="436">
        <v>0</v>
      </c>
      <c r="K47" s="436"/>
      <c r="L47" s="436"/>
      <c r="M47" s="330">
        <f t="shared" si="62"/>
        <v>4444.58</v>
      </c>
      <c r="N47" s="330"/>
      <c r="O47" s="330">
        <f t="shared" si="51"/>
        <v>0</v>
      </c>
      <c r="P47" s="330">
        <f t="shared" si="52"/>
        <v>4462.58</v>
      </c>
      <c r="Q47" s="330">
        <f t="shared" si="53"/>
        <v>2962.9549999999999</v>
      </c>
      <c r="R47" s="330">
        <f t="shared" si="54"/>
        <v>1499.625</v>
      </c>
      <c r="S47" s="330">
        <f t="shared" si="55"/>
        <v>0.21360000000000001</v>
      </c>
      <c r="T47" s="330">
        <f t="shared" si="56"/>
        <v>320.31990000000002</v>
      </c>
      <c r="U47" s="330">
        <f t="shared" si="57"/>
        <v>313.8</v>
      </c>
      <c r="V47" s="330">
        <f t="shared" si="58"/>
        <v>634.11990000000003</v>
      </c>
      <c r="W47" s="330">
        <f t="shared" si="59"/>
        <v>0</v>
      </c>
      <c r="X47" s="330">
        <f t="shared" si="60"/>
        <v>634.11990000000003</v>
      </c>
      <c r="Y47" s="330"/>
      <c r="Z47" s="330"/>
      <c r="AA47" s="330">
        <v>371.72</v>
      </c>
      <c r="AB47" s="330"/>
      <c r="AC47" s="330"/>
      <c r="AD47" s="330">
        <f t="shared" si="61"/>
        <v>371.72</v>
      </c>
      <c r="AE47" s="330">
        <f t="shared" si="63"/>
        <v>4072.8599999999997</v>
      </c>
      <c r="AF47" s="399" t="s">
        <v>252</v>
      </c>
      <c r="AG47" s="539"/>
      <c r="AH47" s="540"/>
      <c r="AI47" s="372"/>
    </row>
    <row r="48" spans="2:35" s="166" customFormat="1" ht="33" customHeight="1" x14ac:dyDescent="0.2">
      <c r="B48" s="435">
        <v>8</v>
      </c>
      <c r="C48" s="341" t="s">
        <v>210</v>
      </c>
      <c r="D48" s="225" t="s">
        <v>108</v>
      </c>
      <c r="E48" s="436">
        <v>393.12</v>
      </c>
      <c r="F48" s="330">
        <v>5896.78</v>
      </c>
      <c r="G48" s="436"/>
      <c r="H48" s="436"/>
      <c r="I48" s="436"/>
      <c r="J48" s="436"/>
      <c r="K48" s="436"/>
      <c r="L48" s="436"/>
      <c r="M48" s="330">
        <f t="shared" si="62"/>
        <v>5896.78</v>
      </c>
      <c r="N48" s="330"/>
      <c r="O48" s="330">
        <f t="shared" si="51"/>
        <v>0</v>
      </c>
      <c r="P48" s="330">
        <f t="shared" si="52"/>
        <v>5896.78</v>
      </c>
      <c r="Q48" s="330">
        <f t="shared" si="53"/>
        <v>2962.9549999999999</v>
      </c>
      <c r="R48" s="330">
        <f t="shared" si="54"/>
        <v>2933.8249999999998</v>
      </c>
      <c r="S48" s="330">
        <f t="shared" si="55"/>
        <v>0.21360000000000001</v>
      </c>
      <c r="T48" s="330">
        <f t="shared" si="56"/>
        <v>626.66502000000003</v>
      </c>
      <c r="U48" s="330">
        <f t="shared" si="57"/>
        <v>313.8</v>
      </c>
      <c r="V48" s="330">
        <f t="shared" si="58"/>
        <v>940.4650200000001</v>
      </c>
      <c r="W48" s="330">
        <f t="shared" si="59"/>
        <v>0</v>
      </c>
      <c r="X48" s="330">
        <f t="shared" si="60"/>
        <v>940.4650200000001</v>
      </c>
      <c r="Y48" s="330"/>
      <c r="Z48" s="330"/>
      <c r="AA48" s="330">
        <v>622.29</v>
      </c>
      <c r="AB48" s="330"/>
      <c r="AC48" s="330"/>
      <c r="AD48" s="330">
        <f t="shared" si="61"/>
        <v>622.29</v>
      </c>
      <c r="AE48" s="330">
        <f t="shared" si="63"/>
        <v>5274.49</v>
      </c>
      <c r="AF48" s="399" t="s">
        <v>252</v>
      </c>
      <c r="AG48" s="539"/>
      <c r="AH48" s="540"/>
      <c r="AI48" s="372"/>
    </row>
    <row r="49" spans="2:35" s="166" customFormat="1" ht="34.5" customHeight="1" x14ac:dyDescent="0.2">
      <c r="B49" s="435">
        <v>9</v>
      </c>
      <c r="C49" s="341" t="s">
        <v>184</v>
      </c>
      <c r="D49" s="180" t="s">
        <v>185</v>
      </c>
      <c r="E49" s="436">
        <v>369.45</v>
      </c>
      <c r="F49" s="330">
        <v>5541.68</v>
      </c>
      <c r="G49" s="436"/>
      <c r="H49" s="436"/>
      <c r="I49" s="436"/>
      <c r="J49" s="436"/>
      <c r="K49" s="436"/>
      <c r="L49" s="436"/>
      <c r="M49" s="330">
        <f t="shared" si="62"/>
        <v>5541.68</v>
      </c>
      <c r="N49" s="330"/>
      <c r="O49" s="330">
        <f t="shared" si="51"/>
        <v>0</v>
      </c>
      <c r="P49" s="330">
        <f t="shared" si="52"/>
        <v>5541.68</v>
      </c>
      <c r="Q49" s="330">
        <f t="shared" si="53"/>
        <v>2962.9549999999999</v>
      </c>
      <c r="R49" s="330">
        <f t="shared" si="54"/>
        <v>2578.7250000000004</v>
      </c>
      <c r="S49" s="330">
        <f t="shared" si="55"/>
        <v>0.21360000000000001</v>
      </c>
      <c r="T49" s="330">
        <f t="shared" si="56"/>
        <v>550.81566000000009</v>
      </c>
      <c r="U49" s="330">
        <f t="shared" si="57"/>
        <v>313.8</v>
      </c>
      <c r="V49" s="330">
        <f t="shared" si="58"/>
        <v>864.61566000000016</v>
      </c>
      <c r="W49" s="330">
        <f t="shared" si="59"/>
        <v>0</v>
      </c>
      <c r="X49" s="330">
        <f t="shared" si="60"/>
        <v>864.61566000000016</v>
      </c>
      <c r="Y49" s="330"/>
      <c r="Z49" s="330"/>
      <c r="AA49" s="330">
        <v>558.66</v>
      </c>
      <c r="AB49" s="330"/>
      <c r="AC49" s="330"/>
      <c r="AD49" s="330">
        <f t="shared" si="61"/>
        <v>558.66</v>
      </c>
      <c r="AE49" s="330">
        <f t="shared" si="63"/>
        <v>4983.0200000000004</v>
      </c>
      <c r="AF49" s="399" t="s">
        <v>252</v>
      </c>
      <c r="AG49" s="539"/>
      <c r="AH49" s="540"/>
      <c r="AI49" s="372"/>
    </row>
    <row r="50" spans="2:35" s="166" customFormat="1" ht="35.25" customHeight="1" x14ac:dyDescent="0.2">
      <c r="B50" s="435">
        <v>10</v>
      </c>
      <c r="C50" s="341" t="s">
        <v>211</v>
      </c>
      <c r="D50" s="180" t="s">
        <v>109</v>
      </c>
      <c r="E50" s="436">
        <v>505.48</v>
      </c>
      <c r="F50" s="330">
        <v>7582.18</v>
      </c>
      <c r="G50" s="436">
        <v>7</v>
      </c>
      <c r="H50" s="436">
        <f>G50</f>
        <v>7</v>
      </c>
      <c r="I50" s="436">
        <v>0</v>
      </c>
      <c r="J50" s="436">
        <v>0</v>
      </c>
      <c r="K50" s="436">
        <v>0</v>
      </c>
      <c r="L50" s="436"/>
      <c r="M50" s="330">
        <f t="shared" si="62"/>
        <v>7582.18</v>
      </c>
      <c r="N50" s="330"/>
      <c r="O50" s="330">
        <f t="shared" si="51"/>
        <v>0</v>
      </c>
      <c r="P50" s="330">
        <f t="shared" si="52"/>
        <v>7596.18</v>
      </c>
      <c r="Q50" s="330">
        <f t="shared" si="53"/>
        <v>5975.93</v>
      </c>
      <c r="R50" s="330">
        <f t="shared" si="54"/>
        <v>1620.25</v>
      </c>
      <c r="S50" s="330">
        <f t="shared" si="55"/>
        <v>0.23519999999999999</v>
      </c>
      <c r="T50" s="330">
        <f t="shared" si="56"/>
        <v>381.08279999999996</v>
      </c>
      <c r="U50" s="330">
        <f t="shared" si="57"/>
        <v>957.375</v>
      </c>
      <c r="V50" s="330">
        <f t="shared" si="58"/>
        <v>1338.4577999999999</v>
      </c>
      <c r="W50" s="330">
        <f t="shared" si="59"/>
        <v>0</v>
      </c>
      <c r="X50" s="330">
        <f t="shared" si="60"/>
        <v>1338.4577999999999</v>
      </c>
      <c r="Y50" s="330"/>
      <c r="Z50" s="330"/>
      <c r="AA50" s="330">
        <v>981.38</v>
      </c>
      <c r="AB50" s="330"/>
      <c r="AC50" s="330"/>
      <c r="AD50" s="330">
        <f t="shared" si="61"/>
        <v>981.38</v>
      </c>
      <c r="AE50" s="330">
        <f t="shared" si="63"/>
        <v>6600.8</v>
      </c>
      <c r="AF50" s="404" t="s">
        <v>252</v>
      </c>
      <c r="AG50" s="539"/>
      <c r="AH50" s="540"/>
      <c r="AI50" s="372"/>
    </row>
    <row r="51" spans="2:35" s="166" customFormat="1" ht="36.6" customHeight="1" x14ac:dyDescent="0.2">
      <c r="B51" s="435"/>
      <c r="C51" s="438" t="s">
        <v>248</v>
      </c>
      <c r="D51" s="180"/>
      <c r="E51" s="436"/>
      <c r="F51" s="330"/>
      <c r="G51" s="436"/>
      <c r="H51" s="436"/>
      <c r="I51" s="436"/>
      <c r="J51" s="436"/>
      <c r="K51" s="436"/>
      <c r="L51" s="436"/>
      <c r="M51" s="330"/>
      <c r="N51" s="330"/>
      <c r="O51" s="330"/>
      <c r="P51" s="330"/>
      <c r="Q51" s="330"/>
      <c r="R51" s="330"/>
      <c r="S51" s="330"/>
      <c r="T51" s="330"/>
      <c r="U51" s="330"/>
      <c r="V51" s="330"/>
      <c r="W51" s="330"/>
      <c r="X51" s="330"/>
      <c r="Y51" s="330"/>
      <c r="Z51" s="330"/>
      <c r="AA51" s="330"/>
      <c r="AB51" s="330"/>
      <c r="AC51" s="330"/>
      <c r="AD51" s="330"/>
      <c r="AE51" s="330"/>
      <c r="AF51" s="346"/>
      <c r="AG51" s="539"/>
      <c r="AH51" s="540"/>
      <c r="AI51" s="372"/>
    </row>
    <row r="52" spans="2:35" s="166" customFormat="1" ht="33.75" customHeight="1" x14ac:dyDescent="0.2">
      <c r="B52" s="435">
        <v>11</v>
      </c>
      <c r="C52" s="341" t="s">
        <v>212</v>
      </c>
      <c r="D52" s="180" t="s">
        <v>110</v>
      </c>
      <c r="E52" s="436">
        <v>571.69000000000005</v>
      </c>
      <c r="F52" s="330">
        <v>8575.4</v>
      </c>
      <c r="G52" s="436">
        <v>7</v>
      </c>
      <c r="H52" s="436">
        <f>G52</f>
        <v>7</v>
      </c>
      <c r="I52" s="436">
        <v>0</v>
      </c>
      <c r="J52" s="436">
        <v>0</v>
      </c>
      <c r="K52" s="436">
        <v>5480</v>
      </c>
      <c r="L52" s="436"/>
      <c r="M52" s="330">
        <f t="shared" ref="M52:M58" si="64">F52+L52+Z52</f>
        <v>8575.4</v>
      </c>
      <c r="N52" s="330"/>
      <c r="O52" s="330">
        <f>IF(E52=47.16,0,IF(E52&gt;47.16,J52*0.5,0))</f>
        <v>0</v>
      </c>
      <c r="P52" s="330">
        <f>F52+G52+H52+K52+O52+I52</f>
        <v>14069.4</v>
      </c>
      <c r="Q52" s="330">
        <f>VLOOKUP(P52,Tarifa1,1)</f>
        <v>9418.8799999999992</v>
      </c>
      <c r="R52" s="330">
        <f>P52-Q52</f>
        <v>4650.5200000000004</v>
      </c>
      <c r="S52" s="330">
        <f>VLOOKUP(P52,Tarifa1,3)</f>
        <v>0.3</v>
      </c>
      <c r="T52" s="330">
        <f>R52*S52</f>
        <v>1395.1560000000002</v>
      </c>
      <c r="U52" s="330">
        <f>VLOOKUP(P52,Tarifa1,2)</f>
        <v>1767.15</v>
      </c>
      <c r="V52" s="330">
        <f>T52+U52</f>
        <v>3162.3060000000005</v>
      </c>
      <c r="W52" s="330">
        <f>VLOOKUP(P52,Credito1,2)</f>
        <v>0</v>
      </c>
      <c r="X52" s="330">
        <f>V52-W52</f>
        <v>3162.3060000000005</v>
      </c>
      <c r="Y52" s="330"/>
      <c r="Z52" s="330"/>
      <c r="AA52" s="330">
        <v>1193.53</v>
      </c>
      <c r="AB52" s="330"/>
      <c r="AC52" s="330"/>
      <c r="AD52" s="330">
        <f t="shared" ref="AD52:AD58" si="65">AA52</f>
        <v>1193.53</v>
      </c>
      <c r="AE52" s="330">
        <f t="shared" ref="AE52:AE58" si="66">M52-AA52</f>
        <v>7381.87</v>
      </c>
      <c r="AF52" s="399" t="s">
        <v>252</v>
      </c>
      <c r="AG52" s="539"/>
      <c r="AH52" s="540"/>
      <c r="AI52" s="372"/>
    </row>
    <row r="53" spans="2:35" s="166" customFormat="1" ht="33" customHeight="1" x14ac:dyDescent="0.2">
      <c r="B53" s="435">
        <v>12</v>
      </c>
      <c r="C53" s="341" t="s">
        <v>66</v>
      </c>
      <c r="D53" s="225" t="s">
        <v>67</v>
      </c>
      <c r="E53" s="436">
        <v>369.45</v>
      </c>
      <c r="F53" s="330">
        <v>5541.68</v>
      </c>
      <c r="G53" s="436">
        <v>7</v>
      </c>
      <c r="H53" s="436">
        <f>G53</f>
        <v>7</v>
      </c>
      <c r="I53" s="436">
        <v>0</v>
      </c>
      <c r="J53" s="436">
        <v>0</v>
      </c>
      <c r="K53" s="436"/>
      <c r="L53" s="436"/>
      <c r="M53" s="330">
        <f t="shared" si="64"/>
        <v>5541.68</v>
      </c>
      <c r="N53" s="330"/>
      <c r="O53" s="330">
        <f>IF(E53=47.16,0,IF(E53&gt;47.16,J53*0.5,0))</f>
        <v>0</v>
      </c>
      <c r="P53" s="330">
        <f>F53+G53+H53+K53+O53+I53</f>
        <v>5555.68</v>
      </c>
      <c r="Q53" s="330">
        <f>VLOOKUP(P53,Tarifa1,1)</f>
        <v>2962.9549999999999</v>
      </c>
      <c r="R53" s="330">
        <f>P53-Q53</f>
        <v>2592.7250000000004</v>
      </c>
      <c r="S53" s="330">
        <f>VLOOKUP(P53,Tarifa1,3)</f>
        <v>0.21360000000000001</v>
      </c>
      <c r="T53" s="330">
        <f>R53*S53</f>
        <v>553.80606000000012</v>
      </c>
      <c r="U53" s="330">
        <f>VLOOKUP(P53,Tarifa1,2)</f>
        <v>313.8</v>
      </c>
      <c r="V53" s="330">
        <f>T53+U53</f>
        <v>867.60606000000007</v>
      </c>
      <c r="W53" s="330">
        <f>VLOOKUP(P53,Credito1,2)</f>
        <v>0</v>
      </c>
      <c r="X53" s="330">
        <f>V53-W53</f>
        <v>867.60606000000007</v>
      </c>
      <c r="Y53" s="330"/>
      <c r="Z53" s="330"/>
      <c r="AA53" s="330">
        <v>558.66</v>
      </c>
      <c r="AB53" s="330"/>
      <c r="AC53" s="330"/>
      <c r="AD53" s="330">
        <f t="shared" si="65"/>
        <v>558.66</v>
      </c>
      <c r="AE53" s="330">
        <f t="shared" si="66"/>
        <v>4983.0200000000004</v>
      </c>
      <c r="AF53" s="399" t="s">
        <v>252</v>
      </c>
      <c r="AG53" s="539"/>
      <c r="AH53" s="540"/>
      <c r="AI53" s="372"/>
    </row>
    <row r="54" spans="2:35" s="166" customFormat="1" ht="32.25" customHeight="1" x14ac:dyDescent="0.2">
      <c r="B54" s="435">
        <v>13</v>
      </c>
      <c r="C54" s="341" t="s">
        <v>111</v>
      </c>
      <c r="D54" s="180" t="s">
        <v>112</v>
      </c>
      <c r="E54" s="436">
        <v>449.79</v>
      </c>
      <c r="F54" s="330">
        <v>6746.9</v>
      </c>
      <c r="G54" s="436">
        <v>9</v>
      </c>
      <c r="H54" s="436">
        <f>G54</f>
        <v>9</v>
      </c>
      <c r="I54" s="436">
        <v>0</v>
      </c>
      <c r="J54" s="436">
        <v>0</v>
      </c>
      <c r="K54" s="436"/>
      <c r="L54" s="436"/>
      <c r="M54" s="330">
        <f t="shared" si="64"/>
        <v>6746.9</v>
      </c>
      <c r="N54" s="330"/>
      <c r="O54" s="330">
        <f>IF(E54=47.16,0,IF(E54&gt;47.16,J54*0.5,0))</f>
        <v>0</v>
      </c>
      <c r="P54" s="330">
        <f>F54+G54+H54+K54+O54+I54</f>
        <v>6764.9</v>
      </c>
      <c r="Q54" s="330">
        <f>VLOOKUP(P54,Tarifa1,1)</f>
        <v>5975.93</v>
      </c>
      <c r="R54" s="330">
        <f>P54-Q54</f>
        <v>788.96999999999935</v>
      </c>
      <c r="S54" s="330">
        <f>VLOOKUP(P54,Tarifa1,3)</f>
        <v>0.23519999999999999</v>
      </c>
      <c r="T54" s="330">
        <f>R54*S54</f>
        <v>185.56574399999985</v>
      </c>
      <c r="U54" s="330">
        <f>VLOOKUP(P54,Tarifa1,2)</f>
        <v>957.375</v>
      </c>
      <c r="V54" s="330">
        <f>T54+U54</f>
        <v>1142.9407439999998</v>
      </c>
      <c r="W54" s="330">
        <f>VLOOKUP(P54,Credito1,2)</f>
        <v>0</v>
      </c>
      <c r="X54" s="330">
        <f>V54-W54</f>
        <v>1142.9407439999998</v>
      </c>
      <c r="Y54" s="330"/>
      <c r="Z54" s="330"/>
      <c r="AA54" s="330">
        <v>802.96</v>
      </c>
      <c r="AB54" s="330"/>
      <c r="AC54" s="330"/>
      <c r="AD54" s="330">
        <f t="shared" si="65"/>
        <v>802.96</v>
      </c>
      <c r="AE54" s="330">
        <f t="shared" si="66"/>
        <v>5943.94</v>
      </c>
      <c r="AF54" s="399" t="s">
        <v>252</v>
      </c>
      <c r="AG54" s="539"/>
      <c r="AH54" s="540"/>
      <c r="AI54" s="372"/>
    </row>
    <row r="55" spans="2:35" s="166" customFormat="1" ht="32.25" customHeight="1" x14ac:dyDescent="0.2">
      <c r="B55" s="435">
        <v>14</v>
      </c>
      <c r="C55" s="341" t="s">
        <v>213</v>
      </c>
      <c r="D55" s="180" t="s">
        <v>239</v>
      </c>
      <c r="E55" s="436">
        <v>308.04000000000002</v>
      </c>
      <c r="F55" s="330">
        <v>4620.54</v>
      </c>
      <c r="G55" s="436">
        <v>9</v>
      </c>
      <c r="H55" s="436">
        <f>G55</f>
        <v>9</v>
      </c>
      <c r="I55" s="436">
        <v>0</v>
      </c>
      <c r="J55" s="436">
        <v>0</v>
      </c>
      <c r="K55" s="436"/>
      <c r="L55" s="436"/>
      <c r="M55" s="330">
        <f t="shared" si="64"/>
        <v>4620.54</v>
      </c>
      <c r="N55" s="330"/>
      <c r="O55" s="330">
        <f>IF(E55=47.16,0,IF(E55&gt;47.16,J55*0.5,0))</f>
        <v>0</v>
      </c>
      <c r="P55" s="330">
        <f>F55+G55+H55+K55+O55+I55</f>
        <v>4638.54</v>
      </c>
      <c r="Q55" s="330">
        <f>VLOOKUP(P55,Tarifa1,1)</f>
        <v>2962.9549999999999</v>
      </c>
      <c r="R55" s="330">
        <f>P55-Q55</f>
        <v>1675.585</v>
      </c>
      <c r="S55" s="330">
        <f>VLOOKUP(P55,Tarifa1,3)</f>
        <v>0.21360000000000001</v>
      </c>
      <c r="T55" s="330">
        <f>R55*S55</f>
        <v>357.90495600000003</v>
      </c>
      <c r="U55" s="330">
        <f>VLOOKUP(P55,Tarifa1,2)</f>
        <v>313.8</v>
      </c>
      <c r="V55" s="330">
        <f>T55+U55</f>
        <v>671.70495600000004</v>
      </c>
      <c r="W55" s="330">
        <f>VLOOKUP(P55,Credito1,2)</f>
        <v>0</v>
      </c>
      <c r="X55" s="330">
        <f>V55-W55</f>
        <v>671.70495600000004</v>
      </c>
      <c r="Y55" s="330"/>
      <c r="Z55" s="330"/>
      <c r="AA55" s="330">
        <v>399.87</v>
      </c>
      <c r="AB55" s="330"/>
      <c r="AC55" s="330"/>
      <c r="AD55" s="330">
        <f t="shared" si="65"/>
        <v>399.87</v>
      </c>
      <c r="AE55" s="466">
        <f t="shared" si="66"/>
        <v>4220.67</v>
      </c>
      <c r="AF55" s="399" t="s">
        <v>252</v>
      </c>
      <c r="AG55" s="539"/>
      <c r="AH55" s="540"/>
      <c r="AI55" s="372"/>
    </row>
    <row r="56" spans="2:35" s="166" customFormat="1" ht="33" customHeight="1" x14ac:dyDescent="0.2">
      <c r="B56" s="435">
        <v>15</v>
      </c>
      <c r="C56" s="341" t="s">
        <v>113</v>
      </c>
      <c r="D56" s="180" t="s">
        <v>112</v>
      </c>
      <c r="E56" s="436">
        <v>449.79</v>
      </c>
      <c r="F56" s="330">
        <v>6746.9</v>
      </c>
      <c r="G56" s="436">
        <v>9</v>
      </c>
      <c r="H56" s="436">
        <f>G56</f>
        <v>9</v>
      </c>
      <c r="I56" s="436">
        <v>0</v>
      </c>
      <c r="J56" s="436">
        <v>0</v>
      </c>
      <c r="K56" s="436"/>
      <c r="L56" s="436"/>
      <c r="M56" s="330">
        <f t="shared" si="64"/>
        <v>6746.9</v>
      </c>
      <c r="N56" s="330"/>
      <c r="O56" s="330">
        <f>IF(E56=47.16,0,IF(E56&gt;47.16,J56*0.5,0))</f>
        <v>0</v>
      </c>
      <c r="P56" s="330">
        <f>F56+G56+H56+K56+O56+I56</f>
        <v>6764.9</v>
      </c>
      <c r="Q56" s="330">
        <f>VLOOKUP(P56,Tarifa1,1)</f>
        <v>5975.93</v>
      </c>
      <c r="R56" s="330">
        <f>P56-Q56</f>
        <v>788.96999999999935</v>
      </c>
      <c r="S56" s="330">
        <f>VLOOKUP(P56,Tarifa1,3)</f>
        <v>0.23519999999999999</v>
      </c>
      <c r="T56" s="330">
        <f>R56*S56</f>
        <v>185.56574399999985</v>
      </c>
      <c r="U56" s="330">
        <f>VLOOKUP(P56,Tarifa1,2)</f>
        <v>957.375</v>
      </c>
      <c r="V56" s="330">
        <f>T56+U56</f>
        <v>1142.9407439999998</v>
      </c>
      <c r="W56" s="330">
        <f>VLOOKUP(P56,Credito1,2)</f>
        <v>0</v>
      </c>
      <c r="X56" s="330">
        <f>V56-W56</f>
        <v>1142.9407439999998</v>
      </c>
      <c r="Y56" s="330"/>
      <c r="Z56" s="330"/>
      <c r="AA56" s="330">
        <v>802.96</v>
      </c>
      <c r="AB56" s="330"/>
      <c r="AC56" s="330"/>
      <c r="AD56" s="330">
        <f t="shared" si="65"/>
        <v>802.96</v>
      </c>
      <c r="AE56" s="330">
        <f t="shared" si="66"/>
        <v>5943.94</v>
      </c>
      <c r="AF56" s="399" t="s">
        <v>252</v>
      </c>
      <c r="AG56" s="539"/>
      <c r="AH56" s="540"/>
      <c r="AI56" s="372"/>
    </row>
    <row r="57" spans="2:35" s="166" customFormat="1" ht="36.75" customHeight="1" x14ac:dyDescent="0.2">
      <c r="B57" s="435">
        <v>16</v>
      </c>
      <c r="C57" s="341" t="s">
        <v>240</v>
      </c>
      <c r="D57" s="180" t="s">
        <v>112</v>
      </c>
      <c r="E57" s="436">
        <v>449.79</v>
      </c>
      <c r="F57" s="330">
        <v>6746.9</v>
      </c>
      <c r="G57" s="436"/>
      <c r="H57" s="436"/>
      <c r="I57" s="436"/>
      <c r="J57" s="436"/>
      <c r="K57" s="436"/>
      <c r="L57" s="436"/>
      <c r="M57" s="330">
        <f t="shared" si="64"/>
        <v>6746.9</v>
      </c>
      <c r="N57" s="330"/>
      <c r="O57" s="330"/>
      <c r="P57" s="330"/>
      <c r="Q57" s="330"/>
      <c r="R57" s="330"/>
      <c r="S57" s="330"/>
      <c r="T57" s="330"/>
      <c r="U57" s="330"/>
      <c r="V57" s="330"/>
      <c r="W57" s="330"/>
      <c r="X57" s="330"/>
      <c r="Y57" s="330"/>
      <c r="Z57" s="330"/>
      <c r="AA57" s="330">
        <v>802.96</v>
      </c>
      <c r="AB57" s="330"/>
      <c r="AC57" s="330"/>
      <c r="AD57" s="330">
        <f t="shared" si="65"/>
        <v>802.96</v>
      </c>
      <c r="AE57" s="330">
        <f t="shared" si="66"/>
        <v>5943.94</v>
      </c>
      <c r="AF57" s="399" t="s">
        <v>252</v>
      </c>
      <c r="AG57" s="539"/>
      <c r="AH57" s="540"/>
      <c r="AI57" s="372"/>
    </row>
    <row r="58" spans="2:35" s="166" customFormat="1" ht="37.5" customHeight="1" x14ac:dyDescent="0.2">
      <c r="B58" s="435">
        <v>17</v>
      </c>
      <c r="C58" s="341" t="s">
        <v>221</v>
      </c>
      <c r="D58" s="180" t="s">
        <v>241</v>
      </c>
      <c r="E58" s="436">
        <v>393.12</v>
      </c>
      <c r="F58" s="330">
        <v>5896.78</v>
      </c>
      <c r="G58" s="436">
        <v>9</v>
      </c>
      <c r="H58" s="436">
        <f>G58</f>
        <v>9</v>
      </c>
      <c r="I58" s="436">
        <v>0</v>
      </c>
      <c r="J58" s="436">
        <v>0</v>
      </c>
      <c r="K58" s="436"/>
      <c r="L58" s="436"/>
      <c r="M58" s="330">
        <f t="shared" si="64"/>
        <v>5896.78</v>
      </c>
      <c r="N58" s="330"/>
      <c r="O58" s="330">
        <f>IF(E58=47.16,0,IF(E58&gt;47.16,J58*0.5,0))</f>
        <v>0</v>
      </c>
      <c r="P58" s="330">
        <f>F58+G58+H58+K58+O58+I58</f>
        <v>5914.78</v>
      </c>
      <c r="Q58" s="330">
        <f>VLOOKUP(P58,Tarifa1,1)</f>
        <v>2962.9549999999999</v>
      </c>
      <c r="R58" s="330">
        <f>P58-Q58</f>
        <v>2951.8249999999998</v>
      </c>
      <c r="S58" s="330">
        <f>VLOOKUP(P58,Tarifa1,3)</f>
        <v>0.21360000000000001</v>
      </c>
      <c r="T58" s="330">
        <f>R58*S58</f>
        <v>630.50981999999999</v>
      </c>
      <c r="U58" s="330">
        <f>VLOOKUP(P58,Tarifa1,2)</f>
        <v>313.8</v>
      </c>
      <c r="V58" s="330">
        <f>T58+U58</f>
        <v>944.30981999999995</v>
      </c>
      <c r="W58" s="330">
        <f>VLOOKUP(P58,Credito1,2)</f>
        <v>0</v>
      </c>
      <c r="X58" s="330">
        <f>V58-W58</f>
        <v>944.30981999999995</v>
      </c>
      <c r="Y58" s="330"/>
      <c r="Z58" s="330"/>
      <c r="AA58" s="330">
        <v>622.29</v>
      </c>
      <c r="AB58" s="330"/>
      <c r="AC58" s="330"/>
      <c r="AD58" s="330">
        <f t="shared" si="65"/>
        <v>622.29</v>
      </c>
      <c r="AE58" s="330">
        <f t="shared" si="66"/>
        <v>5274.49</v>
      </c>
      <c r="AF58" s="399" t="s">
        <v>252</v>
      </c>
      <c r="AG58" s="539"/>
      <c r="AH58" s="540"/>
      <c r="AI58" s="372"/>
    </row>
    <row r="59" spans="2:35" s="166" customFormat="1" ht="8.4499999999999993" hidden="1" customHeight="1" x14ac:dyDescent="0.2">
      <c r="B59" s="439"/>
      <c r="C59" s="439"/>
      <c r="D59" s="439"/>
      <c r="E59" s="439"/>
      <c r="F59" s="439"/>
      <c r="G59" s="439"/>
      <c r="H59" s="439"/>
      <c r="I59" s="439"/>
      <c r="J59" s="439"/>
      <c r="K59" s="439"/>
      <c r="L59" s="439"/>
      <c r="M59" s="439"/>
      <c r="N59" s="439"/>
      <c r="O59" s="439"/>
      <c r="P59" s="439"/>
      <c r="Q59" s="439"/>
      <c r="R59" s="439"/>
      <c r="S59" s="439"/>
      <c r="T59" s="439"/>
      <c r="U59" s="439"/>
      <c r="V59" s="439"/>
      <c r="W59" s="439"/>
      <c r="X59" s="439"/>
      <c r="Y59" s="439"/>
      <c r="Z59" s="439"/>
      <c r="AA59" s="439"/>
      <c r="AB59" s="439"/>
      <c r="AC59" s="439"/>
      <c r="AD59" s="439"/>
      <c r="AE59" s="439"/>
      <c r="AF59" s="346"/>
      <c r="AG59" s="439"/>
      <c r="AH59" s="439"/>
      <c r="AI59" s="372"/>
    </row>
    <row r="60" spans="2:35" s="166" customFormat="1" ht="21" hidden="1" customHeight="1" x14ac:dyDescent="0.2">
      <c r="B60" s="439"/>
      <c r="C60" s="439"/>
      <c r="D60" s="439"/>
      <c r="E60" s="439"/>
      <c r="F60" s="439"/>
      <c r="G60" s="439"/>
      <c r="H60" s="439"/>
      <c r="I60" s="439"/>
      <c r="J60" s="439"/>
      <c r="K60" s="439"/>
      <c r="L60" s="439"/>
      <c r="M60" s="439"/>
      <c r="N60" s="439"/>
      <c r="O60" s="439"/>
      <c r="P60" s="439"/>
      <c r="Q60" s="439"/>
      <c r="R60" s="439"/>
      <c r="S60" s="439"/>
      <c r="T60" s="439"/>
      <c r="U60" s="439"/>
      <c r="V60" s="439"/>
      <c r="W60" s="439"/>
      <c r="X60" s="439"/>
      <c r="Y60" s="439"/>
      <c r="Z60" s="439"/>
      <c r="AA60" s="439"/>
      <c r="AB60" s="439"/>
      <c r="AC60" s="439"/>
      <c r="AD60" s="439"/>
      <c r="AE60" s="439"/>
      <c r="AF60" s="346"/>
      <c r="AG60" s="439"/>
      <c r="AH60" s="439"/>
      <c r="AI60" s="372"/>
    </row>
    <row r="61" spans="2:35" s="166" customFormat="1" ht="44.25" customHeight="1" x14ac:dyDescent="0.2">
      <c r="B61" s="439"/>
      <c r="C61" s="439"/>
      <c r="D61" s="439"/>
      <c r="E61" s="439"/>
      <c r="F61" s="439"/>
      <c r="G61" s="439"/>
      <c r="H61" s="439"/>
      <c r="I61" s="439"/>
      <c r="J61" s="439"/>
      <c r="K61" s="439"/>
      <c r="L61" s="439"/>
      <c r="M61" s="439"/>
      <c r="N61" s="439"/>
      <c r="O61" s="439"/>
      <c r="P61" s="439"/>
      <c r="Q61" s="439"/>
      <c r="R61" s="439"/>
      <c r="S61" s="439"/>
      <c r="T61" s="439"/>
      <c r="U61" s="439"/>
      <c r="V61" s="439"/>
      <c r="W61" s="439"/>
      <c r="X61" s="439"/>
      <c r="Y61" s="439"/>
      <c r="Z61" s="439"/>
      <c r="AA61" s="439"/>
      <c r="AB61" s="439"/>
      <c r="AC61" s="439"/>
      <c r="AD61" s="439"/>
      <c r="AE61" s="439"/>
      <c r="AF61" s="346"/>
      <c r="AG61" s="441"/>
      <c r="AH61" s="442"/>
      <c r="AI61" s="372"/>
    </row>
    <row r="62" spans="2:35" s="166" customFormat="1" ht="21" customHeight="1" x14ac:dyDescent="0.2">
      <c r="B62" s="439"/>
      <c r="C62" s="439"/>
      <c r="D62" s="439"/>
      <c r="E62" s="439"/>
      <c r="F62" s="439"/>
      <c r="G62" s="439"/>
      <c r="H62" s="439"/>
      <c r="I62" s="439"/>
      <c r="J62" s="439"/>
      <c r="K62" s="439"/>
      <c r="L62" s="439"/>
      <c r="M62" s="439"/>
      <c r="N62" s="439"/>
      <c r="O62" s="439"/>
      <c r="P62" s="439"/>
      <c r="Q62" s="439"/>
      <c r="R62" s="439"/>
      <c r="S62" s="439"/>
      <c r="T62" s="439"/>
      <c r="U62" s="439"/>
      <c r="V62" s="439"/>
      <c r="W62" s="439"/>
      <c r="X62" s="439"/>
      <c r="Y62" s="439"/>
      <c r="Z62" s="439"/>
      <c r="AA62" s="439"/>
      <c r="AB62" s="439"/>
      <c r="AC62" s="439"/>
      <c r="AD62" s="439"/>
      <c r="AE62" s="439"/>
      <c r="AF62" s="346"/>
      <c r="AG62" s="441"/>
      <c r="AH62" s="442"/>
      <c r="AI62" s="372"/>
    </row>
    <row r="63" spans="2:35" s="166" customFormat="1" ht="42" customHeight="1" x14ac:dyDescent="0.2">
      <c r="B63" s="435"/>
      <c r="C63" s="433" t="s">
        <v>71</v>
      </c>
      <c r="D63" s="225"/>
      <c r="E63" s="436"/>
      <c r="F63" s="330"/>
      <c r="G63" s="436">
        <v>5</v>
      </c>
      <c r="H63" s="436">
        <f>G63</f>
        <v>5</v>
      </c>
      <c r="I63" s="436">
        <v>0</v>
      </c>
      <c r="J63" s="436">
        <v>0</v>
      </c>
      <c r="K63" s="436"/>
      <c r="L63" s="436"/>
      <c r="M63" s="330"/>
      <c r="N63" s="330"/>
      <c r="O63" s="330">
        <f>IF(E63=47.16,0,IF(E63&gt;47.16,J63*0.5,0))</f>
        <v>0</v>
      </c>
      <c r="P63" s="330">
        <f>F63+G63+H63+K63+O63+I63</f>
        <v>10</v>
      </c>
      <c r="Q63" s="330">
        <f>VLOOKUP(P63,Tarifa1,1)</f>
        <v>0.01</v>
      </c>
      <c r="R63" s="330">
        <f>P63-Q63</f>
        <v>9.99</v>
      </c>
      <c r="S63" s="330">
        <f>VLOOKUP(P63,Tarifa1,3)</f>
        <v>1.9199999999999998E-2</v>
      </c>
      <c r="T63" s="330">
        <f>R63*S63</f>
        <v>0.19180799999999998</v>
      </c>
      <c r="U63" s="330">
        <f>VLOOKUP(P63,Tarifa1,2)</f>
        <v>0</v>
      </c>
      <c r="V63" s="330">
        <f>T63+U63</f>
        <v>0.19180799999999998</v>
      </c>
      <c r="W63" s="330">
        <f>VLOOKUP(P63,Credito1,2)</f>
        <v>100.425</v>
      </c>
      <c r="X63" s="330">
        <f>V63-W63</f>
        <v>-100.233192</v>
      </c>
      <c r="Y63" s="330"/>
      <c r="Z63" s="330"/>
      <c r="AA63" s="330"/>
      <c r="AB63" s="330"/>
      <c r="AC63" s="330"/>
      <c r="AD63" s="330"/>
      <c r="AE63" s="330"/>
      <c r="AF63" s="346"/>
      <c r="AG63" s="539"/>
      <c r="AH63" s="540"/>
      <c r="AI63" s="372"/>
    </row>
    <row r="64" spans="2:35" s="166" customFormat="1" ht="47.25" customHeight="1" x14ac:dyDescent="0.2">
      <c r="B64" s="435">
        <v>18</v>
      </c>
      <c r="C64" s="341" t="s">
        <v>204</v>
      </c>
      <c r="D64" s="230" t="s">
        <v>72</v>
      </c>
      <c r="E64" s="436">
        <v>571.69000000000005</v>
      </c>
      <c r="F64" s="330">
        <v>8575.4</v>
      </c>
      <c r="G64" s="436">
        <v>6</v>
      </c>
      <c r="H64" s="436">
        <f>G64</f>
        <v>6</v>
      </c>
      <c r="I64" s="436">
        <v>0</v>
      </c>
      <c r="J64" s="436">
        <v>0</v>
      </c>
      <c r="K64" s="436"/>
      <c r="L64" s="436"/>
      <c r="M64" s="330">
        <f>F64+L64+Z64</f>
        <v>8575.4</v>
      </c>
      <c r="N64" s="330"/>
      <c r="O64" s="330">
        <f>IF(E64=47.16,0,IF(E64&gt;47.16,J64*0.5,0))</f>
        <v>0</v>
      </c>
      <c r="P64" s="330">
        <f>F64+G64+H64+K64+O64+I64</f>
        <v>8587.4</v>
      </c>
      <c r="Q64" s="330">
        <f t="shared" ref="Q64" si="67">VLOOKUP(P64,Tarifa1,1)</f>
        <v>5975.93</v>
      </c>
      <c r="R64" s="330">
        <f>P64-Q64</f>
        <v>2611.4699999999993</v>
      </c>
      <c r="S64" s="330">
        <f t="shared" ref="S64" si="68">VLOOKUP(P64,Tarifa1,3)</f>
        <v>0.23519999999999999</v>
      </c>
      <c r="T64" s="330">
        <f>R64*S64</f>
        <v>614.21774399999981</v>
      </c>
      <c r="U64" s="330">
        <f t="shared" ref="U64" si="69">VLOOKUP(P64,Tarifa1,2)</f>
        <v>957.375</v>
      </c>
      <c r="V64" s="330">
        <f>T64+U64</f>
        <v>1571.5927439999998</v>
      </c>
      <c r="W64" s="330">
        <f t="shared" ref="W64" si="70">VLOOKUP(P64,Credito1,2)</f>
        <v>0</v>
      </c>
      <c r="X64" s="330">
        <f>V64-W64</f>
        <v>1571.5927439999998</v>
      </c>
      <c r="Y64" s="330"/>
      <c r="Z64" s="330"/>
      <c r="AA64" s="330">
        <v>1193.53</v>
      </c>
      <c r="AB64" s="330"/>
      <c r="AC64" s="330"/>
      <c r="AD64" s="330">
        <f>AA64+AC64</f>
        <v>1193.53</v>
      </c>
      <c r="AE64" s="330">
        <f>M64-AD64</f>
        <v>7381.87</v>
      </c>
      <c r="AF64" s="399" t="s">
        <v>252</v>
      </c>
      <c r="AG64" s="539"/>
      <c r="AH64" s="540"/>
      <c r="AI64" s="372"/>
    </row>
    <row r="65" spans="1:35" s="166" customFormat="1" ht="55.15" customHeight="1" x14ac:dyDescent="0.2">
      <c r="B65" s="435">
        <v>19</v>
      </c>
      <c r="C65" s="341" t="s">
        <v>73</v>
      </c>
      <c r="D65" s="230" t="s">
        <v>67</v>
      </c>
      <c r="E65" s="436">
        <v>360.54</v>
      </c>
      <c r="F65" s="440">
        <v>5408.12</v>
      </c>
      <c r="G65" s="436">
        <v>7</v>
      </c>
      <c r="H65" s="436">
        <f>G65</f>
        <v>7</v>
      </c>
      <c r="I65" s="436">
        <v>0</v>
      </c>
      <c r="J65" s="436">
        <v>0</v>
      </c>
      <c r="K65" s="436"/>
      <c r="L65" s="436"/>
      <c r="M65" s="330">
        <f>F65</f>
        <v>5408.12</v>
      </c>
      <c r="N65" s="330"/>
      <c r="O65" s="330">
        <f>IF(E65=47.16,0,IF(E65&gt;47.16,J65*0.5,0))</f>
        <v>0</v>
      </c>
      <c r="P65" s="330">
        <f>F65+G65+H65+K65+O65+I65</f>
        <v>5422.12</v>
      </c>
      <c r="Q65" s="330">
        <f>VLOOKUP(P65,Tarifa1,1)</f>
        <v>2962.9549999999999</v>
      </c>
      <c r="R65" s="330">
        <f>P65-Q65</f>
        <v>2459.165</v>
      </c>
      <c r="S65" s="330">
        <f>VLOOKUP(P65,Tarifa1,3)</f>
        <v>0.21360000000000001</v>
      </c>
      <c r="T65" s="330">
        <f>R65*S65</f>
        <v>525.27764400000001</v>
      </c>
      <c r="U65" s="330">
        <f>VLOOKUP(P65,Tarifa1,2)</f>
        <v>313.8</v>
      </c>
      <c r="V65" s="330">
        <f>T65+U65</f>
        <v>839.07764399999996</v>
      </c>
      <c r="W65" s="330">
        <f>VLOOKUP(P65,Credito1,2)</f>
        <v>0</v>
      </c>
      <c r="X65" s="330">
        <f>V65-W65</f>
        <v>839.07764399999996</v>
      </c>
      <c r="Y65" s="330"/>
      <c r="Z65" s="330"/>
      <c r="AA65" s="330">
        <v>534.70000000000005</v>
      </c>
      <c r="AB65" s="330"/>
      <c r="AC65" s="330"/>
      <c r="AD65" s="330">
        <f>AA65+AC65</f>
        <v>534.70000000000005</v>
      </c>
      <c r="AE65" s="330">
        <f>M65-AD65</f>
        <v>4873.42</v>
      </c>
      <c r="AF65" s="399" t="s">
        <v>252</v>
      </c>
      <c r="AG65" s="539"/>
      <c r="AH65" s="540"/>
      <c r="AI65" s="372"/>
    </row>
    <row r="66" spans="1:35" s="166" customFormat="1" ht="39" customHeight="1" x14ac:dyDescent="0.2">
      <c r="B66" s="435"/>
      <c r="C66" s="433" t="s">
        <v>74</v>
      </c>
      <c r="D66" s="225"/>
      <c r="E66" s="436"/>
      <c r="F66" s="330"/>
      <c r="G66" s="436">
        <v>8</v>
      </c>
      <c r="H66" s="436">
        <f>G66</f>
        <v>8</v>
      </c>
      <c r="I66" s="436">
        <v>0</v>
      </c>
      <c r="J66" s="436">
        <v>0</v>
      </c>
      <c r="K66" s="436"/>
      <c r="L66" s="436"/>
      <c r="M66" s="330"/>
      <c r="N66" s="330"/>
      <c r="O66" s="330">
        <f>IF(E66=47.16,0,IF(E66&gt;47.16,J66*0.5,0))</f>
        <v>0</v>
      </c>
      <c r="P66" s="330">
        <f>F66+G66+H66+K66+O66+I66</f>
        <v>16</v>
      </c>
      <c r="Q66" s="330">
        <f>VLOOKUP(P66,Tarifa1,1)</f>
        <v>0.01</v>
      </c>
      <c r="R66" s="330">
        <f>P66-Q66</f>
        <v>15.99</v>
      </c>
      <c r="S66" s="330">
        <f>VLOOKUP(P66,Tarifa1,3)</f>
        <v>1.9199999999999998E-2</v>
      </c>
      <c r="T66" s="330">
        <f>R66*S66</f>
        <v>0.307008</v>
      </c>
      <c r="U66" s="330">
        <f>VLOOKUP(P66,Tarifa1,2)</f>
        <v>0</v>
      </c>
      <c r="V66" s="330">
        <f>T66+U66</f>
        <v>0.307008</v>
      </c>
      <c r="W66" s="330">
        <f>VLOOKUP(P66,Credito1,2)</f>
        <v>100.425</v>
      </c>
      <c r="X66" s="330">
        <f>V66-W66</f>
        <v>-100.117992</v>
      </c>
      <c r="Y66" s="330"/>
      <c r="Z66" s="330"/>
      <c r="AA66" s="330"/>
      <c r="AB66" s="330"/>
      <c r="AC66" s="330"/>
      <c r="AD66" s="330"/>
      <c r="AE66" s="330"/>
      <c r="AF66" s="346"/>
      <c r="AG66" s="539"/>
      <c r="AH66" s="540"/>
      <c r="AI66" s="372"/>
    </row>
    <row r="67" spans="1:35" s="166" customFormat="1" ht="30.6" customHeight="1" x14ac:dyDescent="0.2">
      <c r="B67" s="435">
        <v>20</v>
      </c>
      <c r="C67" s="180" t="s">
        <v>75</v>
      </c>
      <c r="D67" s="230" t="s">
        <v>76</v>
      </c>
      <c r="E67" s="436">
        <v>378.49</v>
      </c>
      <c r="F67" s="440">
        <v>5677.36</v>
      </c>
      <c r="G67" s="436">
        <v>7</v>
      </c>
      <c r="H67" s="436">
        <f t="shared" ref="H67" si="71">G67</f>
        <v>7</v>
      </c>
      <c r="I67" s="436">
        <v>0</v>
      </c>
      <c r="J67" s="436">
        <v>0</v>
      </c>
      <c r="K67" s="436"/>
      <c r="L67" s="436"/>
      <c r="M67" s="330">
        <f>F67+L67+Z67</f>
        <v>5677.36</v>
      </c>
      <c r="N67" s="330"/>
      <c r="O67" s="330">
        <f t="shared" ref="O67" si="72">IF(E67=47.16,0,IF(E67&gt;47.16,J67*0.5,0))</f>
        <v>0</v>
      </c>
      <c r="P67" s="330">
        <f t="shared" ref="P67" si="73">F67+G67+H67+K67+O67+I67</f>
        <v>5691.36</v>
      </c>
      <c r="Q67" s="330">
        <f t="shared" ref="Q67" si="74">VLOOKUP(P67,Tarifa1,1)</f>
        <v>2962.9549999999999</v>
      </c>
      <c r="R67" s="330">
        <f t="shared" ref="R67" si="75">P67-Q67</f>
        <v>2728.4049999999997</v>
      </c>
      <c r="S67" s="330">
        <f t="shared" ref="S67" si="76">VLOOKUP(P67,Tarifa1,3)</f>
        <v>0.21360000000000001</v>
      </c>
      <c r="T67" s="330">
        <f t="shared" ref="T67" si="77">R67*S67</f>
        <v>582.78730799999994</v>
      </c>
      <c r="U67" s="330">
        <f t="shared" ref="U67" si="78">VLOOKUP(P67,Tarifa1,2)</f>
        <v>313.8</v>
      </c>
      <c r="V67" s="330">
        <f t="shared" ref="V67" si="79">T67+U67</f>
        <v>896.58730799999989</v>
      </c>
      <c r="W67" s="330">
        <f t="shared" ref="W67" si="80">VLOOKUP(P67,Credito1,2)</f>
        <v>0</v>
      </c>
      <c r="X67" s="330">
        <f t="shared" ref="X67" si="81">V67-W67</f>
        <v>896.58730799999989</v>
      </c>
      <c r="Y67" s="330"/>
      <c r="Z67" s="330"/>
      <c r="AA67" s="330">
        <v>582.97</v>
      </c>
      <c r="AB67" s="330"/>
      <c r="AC67" s="330"/>
      <c r="AD67" s="330">
        <f>AA67+AC67</f>
        <v>582.97</v>
      </c>
      <c r="AE67" s="330">
        <f>M67-AD67</f>
        <v>5094.3899999999994</v>
      </c>
      <c r="AF67" s="399" t="s">
        <v>252</v>
      </c>
      <c r="AG67" s="539"/>
      <c r="AH67" s="540"/>
      <c r="AI67" s="372"/>
    </row>
    <row r="68" spans="1:35" s="166" customFormat="1" ht="43.9" customHeight="1" x14ac:dyDescent="0.2">
      <c r="B68" s="435"/>
      <c r="C68" s="448" t="s">
        <v>77</v>
      </c>
      <c r="D68" s="225"/>
      <c r="E68" s="436"/>
      <c r="F68" s="330"/>
      <c r="G68" s="436">
        <v>0</v>
      </c>
      <c r="H68" s="436">
        <f>G68</f>
        <v>0</v>
      </c>
      <c r="I68" s="436">
        <v>0</v>
      </c>
      <c r="J68" s="436">
        <v>0</v>
      </c>
      <c r="K68" s="436"/>
      <c r="L68" s="436"/>
      <c r="M68" s="330"/>
      <c r="N68" s="330"/>
      <c r="O68" s="330">
        <f t="shared" ref="O68:O78" si="82">IF(E68=47.16,0,IF(E68&gt;47.16,J68*0.5,0))</f>
        <v>0</v>
      </c>
      <c r="P68" s="330">
        <f t="shared" ref="P68:P78" si="83">F68+G68+H68+K68+O68+I68</f>
        <v>0</v>
      </c>
      <c r="Q68" s="330" t="e">
        <f t="shared" ref="Q68:Q78" si="84">VLOOKUP(P68,Tarifa1,1)</f>
        <v>#N/A</v>
      </c>
      <c r="R68" s="330" t="e">
        <f t="shared" ref="R68:R78" si="85">P68-Q68</f>
        <v>#N/A</v>
      </c>
      <c r="S68" s="330" t="e">
        <f t="shared" ref="S68:S78" si="86">VLOOKUP(P68,Tarifa1,3)</f>
        <v>#N/A</v>
      </c>
      <c r="T68" s="330" t="e">
        <f t="shared" ref="T68:T78" si="87">R68*S68</f>
        <v>#N/A</v>
      </c>
      <c r="U68" s="330" t="e">
        <f t="shared" ref="U68:U78" si="88">VLOOKUP(P68,Tarifa1,2)</f>
        <v>#N/A</v>
      </c>
      <c r="V68" s="330" t="e">
        <f t="shared" ref="V68:V78" si="89">T68+U68</f>
        <v>#N/A</v>
      </c>
      <c r="W68" s="330" t="e">
        <f t="shared" ref="W68:W78" si="90">VLOOKUP(P68,Credito1,2)</f>
        <v>#N/A</v>
      </c>
      <c r="X68" s="330" t="e">
        <f t="shared" ref="X68:X78" si="91">V68-W68</f>
        <v>#N/A</v>
      </c>
      <c r="Y68" s="330"/>
      <c r="Z68" s="330"/>
      <c r="AA68" s="330"/>
      <c r="AB68" s="330"/>
      <c r="AC68" s="330"/>
      <c r="AD68" s="330"/>
      <c r="AE68" s="330"/>
      <c r="AF68" s="346"/>
      <c r="AG68" s="539"/>
      <c r="AH68" s="540"/>
      <c r="AI68" s="372"/>
    </row>
    <row r="69" spans="1:35" s="166" customFormat="1" ht="30.75" customHeight="1" x14ac:dyDescent="0.2">
      <c r="B69" s="435">
        <v>21</v>
      </c>
      <c r="C69" s="341" t="s">
        <v>78</v>
      </c>
      <c r="D69" s="449" t="s">
        <v>79</v>
      </c>
      <c r="E69" s="436">
        <v>316.02</v>
      </c>
      <c r="F69" s="440">
        <v>4740.32</v>
      </c>
      <c r="G69" s="436">
        <v>0</v>
      </c>
      <c r="H69" s="436">
        <f>G69</f>
        <v>0</v>
      </c>
      <c r="I69" s="436">
        <v>0</v>
      </c>
      <c r="J69" s="436">
        <v>0</v>
      </c>
      <c r="K69" s="436"/>
      <c r="L69" s="436"/>
      <c r="M69" s="330">
        <f>F69+L69+Z69</f>
        <v>4740.32</v>
      </c>
      <c r="N69" s="330"/>
      <c r="O69" s="330">
        <f t="shared" si="82"/>
        <v>0</v>
      </c>
      <c r="P69" s="330">
        <f t="shared" si="83"/>
        <v>4740.32</v>
      </c>
      <c r="Q69" s="330">
        <f t="shared" si="84"/>
        <v>2962.9549999999999</v>
      </c>
      <c r="R69" s="330">
        <f t="shared" si="85"/>
        <v>1777.3649999999998</v>
      </c>
      <c r="S69" s="330">
        <f t="shared" si="86"/>
        <v>0.21360000000000001</v>
      </c>
      <c r="T69" s="330">
        <f t="shared" si="87"/>
        <v>379.64516399999997</v>
      </c>
      <c r="U69" s="330">
        <f t="shared" si="88"/>
        <v>313.8</v>
      </c>
      <c r="V69" s="330">
        <f t="shared" si="89"/>
        <v>693.44516399999998</v>
      </c>
      <c r="W69" s="330">
        <f t="shared" si="90"/>
        <v>0</v>
      </c>
      <c r="X69" s="330">
        <f t="shared" si="91"/>
        <v>693.44516399999998</v>
      </c>
      <c r="Y69" s="330"/>
      <c r="Z69" s="330"/>
      <c r="AA69" s="330">
        <v>419.04</v>
      </c>
      <c r="AB69" s="330"/>
      <c r="AC69" s="330"/>
      <c r="AD69" s="330">
        <f>AA69+AC69</f>
        <v>419.04</v>
      </c>
      <c r="AE69" s="330">
        <f>M69-AD69</f>
        <v>4321.28</v>
      </c>
      <c r="AF69" s="399" t="s">
        <v>252</v>
      </c>
      <c r="AG69" s="539"/>
      <c r="AH69" s="540"/>
      <c r="AI69" s="372"/>
    </row>
    <row r="70" spans="1:35" s="166" customFormat="1" ht="31.5" customHeight="1" x14ac:dyDescent="0.2">
      <c r="B70" s="435"/>
      <c r="C70" s="433" t="s">
        <v>80</v>
      </c>
      <c r="D70" s="225"/>
      <c r="E70" s="436"/>
      <c r="F70" s="330"/>
      <c r="G70" s="436">
        <v>0</v>
      </c>
      <c r="H70" s="436">
        <f>G70</f>
        <v>0</v>
      </c>
      <c r="I70" s="436">
        <v>0</v>
      </c>
      <c r="J70" s="436">
        <v>0</v>
      </c>
      <c r="K70" s="436"/>
      <c r="L70" s="436" t="s">
        <v>180</v>
      </c>
      <c r="M70" s="330"/>
      <c r="N70" s="330"/>
      <c r="O70" s="330">
        <f t="shared" si="82"/>
        <v>0</v>
      </c>
      <c r="P70" s="330">
        <f t="shared" si="83"/>
        <v>0</v>
      </c>
      <c r="Q70" s="330" t="e">
        <f t="shared" si="84"/>
        <v>#N/A</v>
      </c>
      <c r="R70" s="330" t="e">
        <f t="shared" si="85"/>
        <v>#N/A</v>
      </c>
      <c r="S70" s="330" t="e">
        <f t="shared" si="86"/>
        <v>#N/A</v>
      </c>
      <c r="T70" s="330" t="e">
        <f t="shared" si="87"/>
        <v>#N/A</v>
      </c>
      <c r="U70" s="330" t="e">
        <f t="shared" si="88"/>
        <v>#N/A</v>
      </c>
      <c r="V70" s="330" t="e">
        <f t="shared" si="89"/>
        <v>#N/A</v>
      </c>
      <c r="W70" s="330" t="e">
        <f t="shared" si="90"/>
        <v>#N/A</v>
      </c>
      <c r="X70" s="330" t="e">
        <f t="shared" si="91"/>
        <v>#N/A</v>
      </c>
      <c r="Y70" s="330"/>
      <c r="Z70" s="330"/>
      <c r="AA70" s="330"/>
      <c r="AB70" s="330"/>
      <c r="AC70" s="330"/>
      <c r="AD70" s="330"/>
      <c r="AE70" s="330"/>
      <c r="AF70" s="346"/>
      <c r="AG70" s="539"/>
      <c r="AH70" s="540"/>
      <c r="AI70" s="372"/>
    </row>
    <row r="71" spans="1:35" s="166" customFormat="1" ht="28.5" customHeight="1" x14ac:dyDescent="0.2">
      <c r="B71" s="435">
        <v>22</v>
      </c>
      <c r="C71" s="341" t="s">
        <v>205</v>
      </c>
      <c r="D71" s="225" t="s">
        <v>81</v>
      </c>
      <c r="E71" s="436">
        <v>393.12</v>
      </c>
      <c r="F71" s="330">
        <v>5896.78</v>
      </c>
      <c r="G71" s="436"/>
      <c r="H71" s="436"/>
      <c r="I71" s="436"/>
      <c r="J71" s="436"/>
      <c r="K71" s="436"/>
      <c r="L71" s="436"/>
      <c r="M71" s="330">
        <f t="shared" ref="M71:M77" si="92">F71+L71+Z71</f>
        <v>5896.78</v>
      </c>
      <c r="N71" s="330"/>
      <c r="O71" s="330">
        <f t="shared" si="82"/>
        <v>0</v>
      </c>
      <c r="P71" s="330">
        <f t="shared" si="83"/>
        <v>5896.78</v>
      </c>
      <c r="Q71" s="330">
        <f t="shared" si="84"/>
        <v>2962.9549999999999</v>
      </c>
      <c r="R71" s="330">
        <f t="shared" si="85"/>
        <v>2933.8249999999998</v>
      </c>
      <c r="S71" s="330">
        <f t="shared" si="86"/>
        <v>0.21360000000000001</v>
      </c>
      <c r="T71" s="330">
        <f t="shared" si="87"/>
        <v>626.66502000000003</v>
      </c>
      <c r="U71" s="330">
        <f t="shared" si="88"/>
        <v>313.8</v>
      </c>
      <c r="V71" s="330">
        <f t="shared" si="89"/>
        <v>940.4650200000001</v>
      </c>
      <c r="W71" s="330">
        <f t="shared" si="90"/>
        <v>0</v>
      </c>
      <c r="X71" s="330">
        <f t="shared" si="91"/>
        <v>940.4650200000001</v>
      </c>
      <c r="Y71" s="330"/>
      <c r="Z71" s="330"/>
      <c r="AA71" s="330">
        <v>622.29</v>
      </c>
      <c r="AB71" s="330"/>
      <c r="AC71" s="330"/>
      <c r="AD71" s="330">
        <f t="shared" ref="AD71:AD78" si="93">AA71+AC71</f>
        <v>622.29</v>
      </c>
      <c r="AE71" s="330">
        <f t="shared" ref="AE71:AE78" si="94">M71-AD71</f>
        <v>5274.49</v>
      </c>
      <c r="AF71" s="404" t="s">
        <v>252</v>
      </c>
      <c r="AG71" s="539"/>
      <c r="AH71" s="540"/>
      <c r="AI71" s="372"/>
    </row>
    <row r="72" spans="1:35" s="166" customFormat="1" ht="31.5" customHeight="1" x14ac:dyDescent="0.2">
      <c r="B72" s="435">
        <v>23</v>
      </c>
      <c r="C72" s="341" t="s">
        <v>206</v>
      </c>
      <c r="D72" s="225" t="s">
        <v>67</v>
      </c>
      <c r="E72" s="436">
        <v>235.43</v>
      </c>
      <c r="F72" s="330">
        <v>3531.39</v>
      </c>
      <c r="G72" s="436">
        <v>0</v>
      </c>
      <c r="H72" s="436">
        <f t="shared" ref="H72:H78" si="95">G72</f>
        <v>0</v>
      </c>
      <c r="I72" s="436">
        <v>0</v>
      </c>
      <c r="J72" s="436">
        <v>0</v>
      </c>
      <c r="K72" s="436">
        <v>2</v>
      </c>
      <c r="L72" s="436"/>
      <c r="M72" s="330">
        <f t="shared" si="92"/>
        <v>3531.39</v>
      </c>
      <c r="N72" s="330"/>
      <c r="O72" s="330">
        <f t="shared" si="82"/>
        <v>0</v>
      </c>
      <c r="P72" s="330">
        <f t="shared" si="83"/>
        <v>3533.39</v>
      </c>
      <c r="Q72" s="330">
        <f t="shared" si="84"/>
        <v>2962.9549999999999</v>
      </c>
      <c r="R72" s="330">
        <f t="shared" si="85"/>
        <v>570.43499999999995</v>
      </c>
      <c r="S72" s="330">
        <f t="shared" si="86"/>
        <v>0.21360000000000001</v>
      </c>
      <c r="T72" s="330">
        <f t="shared" si="87"/>
        <v>121.844916</v>
      </c>
      <c r="U72" s="330">
        <f t="shared" si="88"/>
        <v>313.8</v>
      </c>
      <c r="V72" s="330">
        <f t="shared" si="89"/>
        <v>435.64491600000002</v>
      </c>
      <c r="W72" s="330">
        <f t="shared" si="90"/>
        <v>0</v>
      </c>
      <c r="X72" s="330">
        <f t="shared" si="91"/>
        <v>435.64491600000002</v>
      </c>
      <c r="Y72" s="330"/>
      <c r="Z72" s="330"/>
      <c r="AA72" s="330">
        <v>262.81</v>
      </c>
      <c r="AB72" s="330"/>
      <c r="AC72" s="330"/>
      <c r="AD72" s="330">
        <f t="shared" si="93"/>
        <v>262.81</v>
      </c>
      <c r="AE72" s="330">
        <f t="shared" si="94"/>
        <v>3268.58</v>
      </c>
      <c r="AF72" s="467" t="s">
        <v>252</v>
      </c>
      <c r="AG72" s="539"/>
      <c r="AH72" s="540"/>
      <c r="AI72" s="372"/>
    </row>
    <row r="73" spans="1:35" s="166" customFormat="1" ht="32.25" customHeight="1" x14ac:dyDescent="0.2">
      <c r="B73" s="435">
        <v>24</v>
      </c>
      <c r="C73" s="341" t="s">
        <v>82</v>
      </c>
      <c r="D73" s="225" t="s">
        <v>83</v>
      </c>
      <c r="E73" s="436">
        <v>322.10000000000002</v>
      </c>
      <c r="F73" s="330">
        <v>4831.4799999999996</v>
      </c>
      <c r="G73" s="436">
        <v>9</v>
      </c>
      <c r="H73" s="436">
        <f t="shared" si="95"/>
        <v>9</v>
      </c>
      <c r="I73" s="436">
        <v>0</v>
      </c>
      <c r="J73" s="436">
        <v>0</v>
      </c>
      <c r="K73" s="436"/>
      <c r="L73" s="436"/>
      <c r="M73" s="330">
        <f t="shared" si="92"/>
        <v>4831.4799999999996</v>
      </c>
      <c r="N73" s="330"/>
      <c r="O73" s="330">
        <f t="shared" si="82"/>
        <v>0</v>
      </c>
      <c r="P73" s="330">
        <f t="shared" si="83"/>
        <v>4849.4799999999996</v>
      </c>
      <c r="Q73" s="330">
        <f t="shared" si="84"/>
        <v>2962.9549999999999</v>
      </c>
      <c r="R73" s="330">
        <f t="shared" si="85"/>
        <v>1886.5249999999996</v>
      </c>
      <c r="S73" s="330">
        <f t="shared" si="86"/>
        <v>0.21360000000000001</v>
      </c>
      <c r="T73" s="330">
        <f t="shared" si="87"/>
        <v>402.96173999999996</v>
      </c>
      <c r="U73" s="330">
        <f t="shared" si="88"/>
        <v>313.8</v>
      </c>
      <c r="V73" s="330">
        <f t="shared" si="89"/>
        <v>716.76173999999992</v>
      </c>
      <c r="W73" s="330">
        <f t="shared" si="90"/>
        <v>0</v>
      </c>
      <c r="X73" s="330">
        <f t="shared" si="91"/>
        <v>716.76173999999992</v>
      </c>
      <c r="Y73" s="330"/>
      <c r="Z73" s="330"/>
      <c r="AA73" s="330">
        <v>433.62</v>
      </c>
      <c r="AB73" s="330"/>
      <c r="AC73" s="330"/>
      <c r="AD73" s="330">
        <f t="shared" si="93"/>
        <v>433.62</v>
      </c>
      <c r="AE73" s="330">
        <f t="shared" si="94"/>
        <v>4397.8599999999997</v>
      </c>
      <c r="AF73" s="399" t="s">
        <v>252</v>
      </c>
      <c r="AG73" s="539"/>
      <c r="AH73" s="540"/>
      <c r="AI73" s="372"/>
    </row>
    <row r="74" spans="1:35" s="166" customFormat="1" ht="31.5" customHeight="1" x14ac:dyDescent="0.2">
      <c r="B74" s="435">
        <v>25</v>
      </c>
      <c r="C74" s="341" t="s">
        <v>84</v>
      </c>
      <c r="D74" s="180" t="s">
        <v>85</v>
      </c>
      <c r="E74" s="436">
        <v>364.07</v>
      </c>
      <c r="F74" s="330">
        <v>5461.12</v>
      </c>
      <c r="G74" s="436">
        <v>0</v>
      </c>
      <c r="H74" s="436">
        <f t="shared" si="95"/>
        <v>0</v>
      </c>
      <c r="I74" s="436">
        <v>0</v>
      </c>
      <c r="J74" s="436">
        <v>0</v>
      </c>
      <c r="K74" s="436"/>
      <c r="L74" s="436"/>
      <c r="M74" s="330">
        <f t="shared" si="92"/>
        <v>5461.12</v>
      </c>
      <c r="N74" s="330"/>
      <c r="O74" s="330">
        <f t="shared" si="82"/>
        <v>0</v>
      </c>
      <c r="P74" s="330">
        <f t="shared" si="83"/>
        <v>5461.12</v>
      </c>
      <c r="Q74" s="330">
        <f t="shared" si="84"/>
        <v>2962.9549999999999</v>
      </c>
      <c r="R74" s="330">
        <f t="shared" si="85"/>
        <v>2498.165</v>
      </c>
      <c r="S74" s="330">
        <f t="shared" si="86"/>
        <v>0.21360000000000001</v>
      </c>
      <c r="T74" s="330">
        <f t="shared" si="87"/>
        <v>533.60804400000006</v>
      </c>
      <c r="U74" s="330">
        <f t="shared" si="88"/>
        <v>313.8</v>
      </c>
      <c r="V74" s="330">
        <f t="shared" si="89"/>
        <v>847.40804400000002</v>
      </c>
      <c r="W74" s="330">
        <f t="shared" si="90"/>
        <v>0</v>
      </c>
      <c r="X74" s="330">
        <f t="shared" si="91"/>
        <v>847.40804400000002</v>
      </c>
      <c r="Y74" s="330"/>
      <c r="Z74" s="330"/>
      <c r="AA74" s="330">
        <v>544.22</v>
      </c>
      <c r="AB74" s="330"/>
      <c r="AC74" s="330"/>
      <c r="AD74" s="330">
        <f t="shared" si="93"/>
        <v>544.22</v>
      </c>
      <c r="AE74" s="330">
        <f t="shared" si="94"/>
        <v>4916.8999999999996</v>
      </c>
      <c r="AF74" s="399" t="s">
        <v>252</v>
      </c>
      <c r="AG74" s="539"/>
      <c r="AH74" s="540"/>
      <c r="AI74" s="372"/>
    </row>
    <row r="75" spans="1:35" s="166" customFormat="1" ht="34.5" customHeight="1" x14ac:dyDescent="0.2">
      <c r="B75" s="435">
        <v>26</v>
      </c>
      <c r="C75" s="341" t="s">
        <v>86</v>
      </c>
      <c r="D75" s="225" t="s">
        <v>87</v>
      </c>
      <c r="E75" s="436">
        <v>240.16</v>
      </c>
      <c r="F75" s="330">
        <v>3602.41</v>
      </c>
      <c r="G75" s="436">
        <v>0</v>
      </c>
      <c r="H75" s="436">
        <f t="shared" si="95"/>
        <v>0</v>
      </c>
      <c r="I75" s="436">
        <v>0</v>
      </c>
      <c r="J75" s="436">
        <v>0</v>
      </c>
      <c r="K75" s="436">
        <v>0</v>
      </c>
      <c r="L75" s="436"/>
      <c r="M75" s="330">
        <f t="shared" si="92"/>
        <v>3602.41</v>
      </c>
      <c r="N75" s="330"/>
      <c r="O75" s="330">
        <f t="shared" si="82"/>
        <v>0</v>
      </c>
      <c r="P75" s="330">
        <f t="shared" si="83"/>
        <v>3602.41</v>
      </c>
      <c r="Q75" s="330">
        <f t="shared" si="84"/>
        <v>2962.9549999999999</v>
      </c>
      <c r="R75" s="330">
        <f t="shared" si="85"/>
        <v>639.45499999999993</v>
      </c>
      <c r="S75" s="330">
        <f t="shared" si="86"/>
        <v>0.21360000000000001</v>
      </c>
      <c r="T75" s="330">
        <f t="shared" si="87"/>
        <v>136.58758799999998</v>
      </c>
      <c r="U75" s="330">
        <f t="shared" si="88"/>
        <v>313.8</v>
      </c>
      <c r="V75" s="330">
        <f t="shared" si="89"/>
        <v>450.38758799999999</v>
      </c>
      <c r="W75" s="330">
        <f t="shared" si="90"/>
        <v>0</v>
      </c>
      <c r="X75" s="330">
        <f t="shared" si="91"/>
        <v>450.38758799999999</v>
      </c>
      <c r="Y75" s="330"/>
      <c r="Z75" s="330"/>
      <c r="AA75" s="330">
        <v>270.54000000000002</v>
      </c>
      <c r="AB75" s="330"/>
      <c r="AC75" s="330"/>
      <c r="AD75" s="330">
        <f t="shared" si="93"/>
        <v>270.54000000000002</v>
      </c>
      <c r="AE75" s="330">
        <f t="shared" si="94"/>
        <v>3331.87</v>
      </c>
      <c r="AF75" s="399" t="s">
        <v>252</v>
      </c>
      <c r="AG75" s="539"/>
      <c r="AH75" s="540"/>
      <c r="AI75" s="372"/>
    </row>
    <row r="76" spans="1:35" s="166" customFormat="1" ht="34.5" customHeight="1" x14ac:dyDescent="0.2">
      <c r="B76" s="468">
        <v>27</v>
      </c>
      <c r="C76" s="341" t="s">
        <v>207</v>
      </c>
      <c r="D76" s="180" t="s">
        <v>89</v>
      </c>
      <c r="E76" s="436">
        <v>148.4</v>
      </c>
      <c r="F76" s="330">
        <v>2226</v>
      </c>
      <c r="G76" s="436">
        <v>0</v>
      </c>
      <c r="H76" s="436">
        <f t="shared" si="95"/>
        <v>0</v>
      </c>
      <c r="I76" s="436">
        <v>0</v>
      </c>
      <c r="J76" s="436">
        <v>0</v>
      </c>
      <c r="K76" s="436"/>
      <c r="L76" s="436"/>
      <c r="M76" s="330">
        <f t="shared" si="92"/>
        <v>2226</v>
      </c>
      <c r="N76" s="330"/>
      <c r="O76" s="330">
        <f t="shared" si="82"/>
        <v>0</v>
      </c>
      <c r="P76" s="330">
        <f t="shared" si="83"/>
        <v>2226</v>
      </c>
      <c r="Q76" s="330">
        <f t="shared" si="84"/>
        <v>2128.9549999999999</v>
      </c>
      <c r="R76" s="330">
        <f t="shared" si="85"/>
        <v>97.045000000000073</v>
      </c>
      <c r="S76" s="330">
        <f t="shared" si="86"/>
        <v>0.16</v>
      </c>
      <c r="T76" s="330">
        <f t="shared" si="87"/>
        <v>15.527200000000011</v>
      </c>
      <c r="U76" s="330">
        <f t="shared" si="88"/>
        <v>170.92500000000001</v>
      </c>
      <c r="V76" s="330">
        <f t="shared" si="89"/>
        <v>186.45220000000003</v>
      </c>
      <c r="W76" s="330">
        <f t="shared" si="90"/>
        <v>0</v>
      </c>
      <c r="X76" s="330">
        <f t="shared" si="91"/>
        <v>186.45220000000003</v>
      </c>
      <c r="Y76" s="330"/>
      <c r="Z76" s="330"/>
      <c r="AA76" s="330">
        <v>129.74</v>
      </c>
      <c r="AB76" s="330"/>
      <c r="AC76" s="330"/>
      <c r="AD76" s="330">
        <f t="shared" si="93"/>
        <v>129.74</v>
      </c>
      <c r="AE76" s="330">
        <f t="shared" si="94"/>
        <v>2096.2600000000002</v>
      </c>
      <c r="AF76" s="398" t="s">
        <v>253</v>
      </c>
      <c r="AG76" s="539"/>
      <c r="AH76" s="540"/>
      <c r="AI76" s="372"/>
    </row>
    <row r="77" spans="1:35" s="166" customFormat="1" ht="36" customHeight="1" x14ac:dyDescent="0.2">
      <c r="B77" s="435">
        <v>28</v>
      </c>
      <c r="C77" s="341" t="s">
        <v>220</v>
      </c>
      <c r="D77" s="180" t="s">
        <v>89</v>
      </c>
      <c r="E77" s="436">
        <v>180.69</v>
      </c>
      <c r="F77" s="330">
        <v>2710.42</v>
      </c>
      <c r="G77" s="436">
        <v>7</v>
      </c>
      <c r="H77" s="436">
        <f t="shared" si="95"/>
        <v>7</v>
      </c>
      <c r="I77" s="436">
        <v>0</v>
      </c>
      <c r="J77" s="436">
        <v>0</v>
      </c>
      <c r="K77" s="436"/>
      <c r="L77" s="436"/>
      <c r="M77" s="330">
        <f t="shared" si="92"/>
        <v>2710.42</v>
      </c>
      <c r="N77" s="330"/>
      <c r="O77" s="330">
        <f t="shared" si="82"/>
        <v>0</v>
      </c>
      <c r="P77" s="330">
        <f t="shared" si="83"/>
        <v>2724.42</v>
      </c>
      <c r="Q77" s="330">
        <f t="shared" si="84"/>
        <v>2474.7800000000002</v>
      </c>
      <c r="R77" s="330">
        <f t="shared" si="85"/>
        <v>249.63999999999987</v>
      </c>
      <c r="S77" s="330">
        <f t="shared" si="86"/>
        <v>0.1792</v>
      </c>
      <c r="T77" s="330">
        <f t="shared" si="87"/>
        <v>44.735487999999975</v>
      </c>
      <c r="U77" s="330">
        <f t="shared" si="88"/>
        <v>226.27500000000001</v>
      </c>
      <c r="V77" s="330">
        <f t="shared" si="89"/>
        <v>271.01048800000001</v>
      </c>
      <c r="W77" s="330">
        <f t="shared" si="90"/>
        <v>0</v>
      </c>
      <c r="X77" s="330">
        <f t="shared" si="91"/>
        <v>271.01048800000001</v>
      </c>
      <c r="Y77" s="330"/>
      <c r="Z77" s="330"/>
      <c r="AA77" s="330">
        <v>173.49</v>
      </c>
      <c r="AB77" s="330"/>
      <c r="AC77" s="330"/>
      <c r="AD77" s="330">
        <f t="shared" si="93"/>
        <v>173.49</v>
      </c>
      <c r="AE77" s="330">
        <f t="shared" si="94"/>
        <v>2536.9300000000003</v>
      </c>
      <c r="AF77" s="404" t="s">
        <v>252</v>
      </c>
      <c r="AG77" s="539"/>
      <c r="AH77" s="540"/>
      <c r="AI77" s="372"/>
    </row>
    <row r="78" spans="1:35" s="166" customFormat="1" ht="36" customHeight="1" x14ac:dyDescent="0.2">
      <c r="B78" s="435">
        <v>29</v>
      </c>
      <c r="C78" s="341" t="s">
        <v>90</v>
      </c>
      <c r="D78" s="180" t="s">
        <v>91</v>
      </c>
      <c r="E78" s="436">
        <v>350.01</v>
      </c>
      <c r="F78" s="330">
        <v>5250.18</v>
      </c>
      <c r="G78" s="436">
        <v>1</v>
      </c>
      <c r="H78" s="436">
        <f t="shared" si="95"/>
        <v>1</v>
      </c>
      <c r="I78" s="436">
        <v>0</v>
      </c>
      <c r="J78" s="436">
        <v>0</v>
      </c>
      <c r="K78" s="436"/>
      <c r="L78" s="436"/>
      <c r="M78" s="330">
        <f>F78+L78+Z78</f>
        <v>5250.18</v>
      </c>
      <c r="N78" s="330"/>
      <c r="O78" s="330">
        <f t="shared" si="82"/>
        <v>0</v>
      </c>
      <c r="P78" s="330">
        <f t="shared" si="83"/>
        <v>5252.18</v>
      </c>
      <c r="Q78" s="330">
        <f t="shared" si="84"/>
        <v>2962.9549999999999</v>
      </c>
      <c r="R78" s="330">
        <f t="shared" si="85"/>
        <v>2289.2250000000004</v>
      </c>
      <c r="S78" s="330">
        <f t="shared" si="86"/>
        <v>0.21360000000000001</v>
      </c>
      <c r="T78" s="330">
        <f t="shared" si="87"/>
        <v>488.9784600000001</v>
      </c>
      <c r="U78" s="330">
        <f t="shared" si="88"/>
        <v>313.8</v>
      </c>
      <c r="V78" s="330">
        <f t="shared" si="89"/>
        <v>802.77846000000011</v>
      </c>
      <c r="W78" s="330">
        <f t="shared" si="90"/>
        <v>0</v>
      </c>
      <c r="X78" s="330">
        <f t="shared" si="91"/>
        <v>802.77846000000011</v>
      </c>
      <c r="Y78" s="330"/>
      <c r="Z78" s="330"/>
      <c r="AA78" s="330">
        <v>506.42</v>
      </c>
      <c r="AB78" s="330"/>
      <c r="AC78" s="330"/>
      <c r="AD78" s="330">
        <f t="shared" si="93"/>
        <v>506.42</v>
      </c>
      <c r="AE78" s="330">
        <f t="shared" si="94"/>
        <v>4743.76</v>
      </c>
      <c r="AF78" s="404" t="s">
        <v>252</v>
      </c>
      <c r="AG78" s="539"/>
      <c r="AH78" s="540"/>
      <c r="AI78" s="372"/>
    </row>
    <row r="79" spans="1:35" s="166" customFormat="1" ht="34.15" customHeight="1" thickBot="1" x14ac:dyDescent="0.25">
      <c r="B79" s="373"/>
      <c r="C79" s="443" t="s">
        <v>60</v>
      </c>
      <c r="D79" s="443"/>
      <c r="E79" s="444"/>
      <c r="F79" s="445">
        <f>F39+F40+F42+F43+F45+F46+F47+F48+F49+F50+F52+F53+F54+F55+F56+F57+F58+F64+F65+F67+F69+F71+F72+F73+F74+F75+F76+F77+F78</f>
        <v>193409.58</v>
      </c>
      <c r="G79" s="444">
        <f>SUM(G39:G78)</f>
        <v>126</v>
      </c>
      <c r="H79" s="444">
        <f>SUM(H39:H78)</f>
        <v>126</v>
      </c>
      <c r="I79" s="444">
        <f>SUM(I39:I78)</f>
        <v>0</v>
      </c>
      <c r="J79" s="444">
        <f>SUM(J39:J78)</f>
        <v>0</v>
      </c>
      <c r="K79" s="444">
        <f>SUM(K39:K78)</f>
        <v>5483</v>
      </c>
      <c r="L79" s="444"/>
      <c r="M79" s="445">
        <f>M39+M40+M42+M43+M45+M46+M47+M48+M49+M50+M52+M53+M54+M55+M56+M57+M58+M64+M65+M67+M69+M71+M72+M73+M74+M75+M76+M77+M78</f>
        <v>193409.58</v>
      </c>
      <c r="N79" s="444">
        <f t="shared" ref="N79:Y79" si="96">SUM(N39:N78)</f>
        <v>0</v>
      </c>
      <c r="O79" s="444">
        <f t="shared" si="96"/>
        <v>0</v>
      </c>
      <c r="P79" s="444">
        <f t="shared" si="96"/>
        <v>192397.68</v>
      </c>
      <c r="Q79" s="444" t="e">
        <f t="shared" si="96"/>
        <v>#N/A</v>
      </c>
      <c r="R79" s="444" t="e">
        <f t="shared" si="96"/>
        <v>#N/A</v>
      </c>
      <c r="S79" s="444" t="e">
        <f t="shared" si="96"/>
        <v>#N/A</v>
      </c>
      <c r="T79" s="444" t="e">
        <f t="shared" si="96"/>
        <v>#N/A</v>
      </c>
      <c r="U79" s="444" t="e">
        <f t="shared" si="96"/>
        <v>#N/A</v>
      </c>
      <c r="V79" s="444" t="e">
        <f t="shared" si="96"/>
        <v>#N/A</v>
      </c>
      <c r="W79" s="444" t="e">
        <f t="shared" si="96"/>
        <v>#N/A</v>
      </c>
      <c r="X79" s="444" t="e">
        <f t="shared" si="96"/>
        <v>#N/A</v>
      </c>
      <c r="Y79" s="444">
        <f t="shared" si="96"/>
        <v>0</v>
      </c>
      <c r="Z79" s="444"/>
      <c r="AA79" s="445">
        <f>AA39+AA40+AA42+AA43+AA45+AA46+AA47+AA48+AA49+AA50+AA52+AA53+AA54+AA55+AA56+AA57+AA58+AA64+AA65+AA67+AA69+AA71+AA72+AA73+AA74+AA75+AA76+AA77+AA78</f>
        <v>24591.910000000003</v>
      </c>
      <c r="AB79" s="444">
        <f t="shared" ref="AB79:AD79" si="97">AB39+AB40+AB42+AB43+AB45+AB46+AB47+AB48+AB49+AB50+AB52+AB53+AB54+AB55+AB56+AB57+AB58+AB64+AB65+AB67+AB69+AB71+AB72+AB73+AB74+AB75+AB76+AB77+AB78</f>
        <v>0</v>
      </c>
      <c r="AC79" s="444">
        <f t="shared" si="97"/>
        <v>0</v>
      </c>
      <c r="AD79" s="445">
        <f t="shared" si="97"/>
        <v>24591.910000000003</v>
      </c>
      <c r="AE79" s="446">
        <f>AE39+AE40+AE42+AE43+AE45+AE46+AE47+AE48+AE49+AE50+AE52+AE53+AE54+AE55+AE56+AE57+AE58+AE64+AE65+AE67+AE69+AE71+AE72+AE73+AE74+AE75+AE76+AE77+AE78</f>
        <v>168817.66999999998</v>
      </c>
      <c r="AF79" s="447"/>
      <c r="AG79" s="374"/>
      <c r="AH79" s="374"/>
      <c r="AI79" s="375"/>
    </row>
    <row r="80" spans="1:35" s="166" customFormat="1" ht="24" customHeight="1" x14ac:dyDescent="0.2">
      <c r="A80" s="167"/>
      <c r="B80" s="164"/>
      <c r="C80" s="326"/>
      <c r="D80" s="326"/>
      <c r="E80" s="165"/>
      <c r="F80" s="165"/>
      <c r="G80" s="165"/>
      <c r="H80" s="165"/>
      <c r="I80" s="165"/>
      <c r="J80" s="165"/>
      <c r="K80" s="165"/>
      <c r="L80" s="165"/>
      <c r="M80" s="165" t="s">
        <v>92</v>
      </c>
      <c r="N80" s="165"/>
      <c r="O80" s="165"/>
      <c r="P80" s="165"/>
      <c r="Q80" s="165"/>
      <c r="R80" s="165"/>
      <c r="S80" s="165"/>
      <c r="T80" s="165"/>
      <c r="U80" s="165"/>
      <c r="V80" s="165"/>
      <c r="W80" s="165"/>
      <c r="X80" s="165"/>
      <c r="Y80" s="165"/>
      <c r="Z80" s="165"/>
      <c r="AA80" s="165"/>
      <c r="AB80" s="165"/>
      <c r="AC80" s="338"/>
      <c r="AD80" s="165"/>
      <c r="AE80" s="165"/>
      <c r="AF80" s="227"/>
      <c r="AG80" s="167"/>
      <c r="AH80" s="167"/>
      <c r="AI80" s="178"/>
    </row>
    <row r="81" spans="1:35" s="166" customFormat="1" ht="24" customHeight="1" x14ac:dyDescent="0.2">
      <c r="A81" s="167"/>
      <c r="B81" s="229"/>
      <c r="C81" s="326"/>
      <c r="D81" s="326"/>
      <c r="E81" s="165"/>
      <c r="F81" s="165"/>
      <c r="G81" s="165"/>
      <c r="H81" s="165"/>
      <c r="I81" s="165"/>
      <c r="J81" s="165"/>
      <c r="K81" s="165"/>
      <c r="L81" s="165"/>
      <c r="M81" s="165"/>
      <c r="N81" s="165"/>
      <c r="O81" s="165"/>
      <c r="P81" s="165"/>
      <c r="Q81" s="165"/>
      <c r="R81" s="165"/>
      <c r="S81" s="165"/>
      <c r="T81" s="165"/>
      <c r="U81" s="165"/>
      <c r="V81" s="165"/>
      <c r="W81" s="165"/>
      <c r="X81" s="165"/>
      <c r="Y81" s="165"/>
      <c r="Z81" s="165"/>
      <c r="AA81" s="165"/>
      <c r="AB81" s="165"/>
      <c r="AC81" s="338"/>
      <c r="AD81" s="165"/>
      <c r="AE81" s="165"/>
      <c r="AF81" s="227"/>
      <c r="AG81" s="167"/>
      <c r="AH81" s="167"/>
      <c r="AI81" s="178"/>
    </row>
    <row r="82" spans="1:35" s="166" customFormat="1" ht="24" customHeight="1" x14ac:dyDescent="0.2">
      <c r="A82" s="167"/>
      <c r="B82" s="229"/>
      <c r="C82" s="326"/>
      <c r="D82" s="326"/>
      <c r="E82" s="165"/>
      <c r="F82" s="165"/>
      <c r="G82" s="165"/>
      <c r="H82" s="165"/>
      <c r="I82" s="165"/>
      <c r="J82" s="165"/>
      <c r="K82" s="165"/>
      <c r="L82" s="165"/>
      <c r="M82" s="165"/>
      <c r="N82" s="165"/>
      <c r="O82" s="165"/>
      <c r="P82" s="165"/>
      <c r="Q82" s="165"/>
      <c r="R82" s="165"/>
      <c r="S82" s="165"/>
      <c r="T82" s="165"/>
      <c r="U82" s="165"/>
      <c r="V82" s="165"/>
      <c r="W82" s="165"/>
      <c r="X82" s="165"/>
      <c r="Y82" s="165"/>
      <c r="Z82" s="165"/>
      <c r="AA82" s="165"/>
      <c r="AB82" s="165"/>
      <c r="AC82" s="338"/>
      <c r="AD82" s="165"/>
      <c r="AE82" s="165"/>
      <c r="AF82" s="227"/>
      <c r="AG82" s="167"/>
      <c r="AH82" s="167"/>
      <c r="AI82" s="178"/>
    </row>
    <row r="83" spans="1:35" s="166" customFormat="1" ht="24" customHeight="1" x14ac:dyDescent="0.2">
      <c r="A83" s="167"/>
      <c r="B83" s="229"/>
      <c r="C83" s="326"/>
      <c r="D83" s="326"/>
      <c r="E83" s="165"/>
      <c r="F83" s="165"/>
      <c r="G83" s="165"/>
      <c r="H83" s="165"/>
      <c r="I83" s="165"/>
      <c r="J83" s="165"/>
      <c r="K83" s="165"/>
      <c r="L83" s="165"/>
      <c r="M83" s="165"/>
      <c r="N83" s="165"/>
      <c r="O83" s="165"/>
      <c r="P83" s="165"/>
      <c r="Q83" s="165"/>
      <c r="R83" s="165"/>
      <c r="S83" s="165"/>
      <c r="T83" s="165"/>
      <c r="U83" s="165"/>
      <c r="V83" s="165"/>
      <c r="W83" s="165"/>
      <c r="X83" s="165"/>
      <c r="Y83" s="165"/>
      <c r="Z83" s="165"/>
      <c r="AA83" s="165"/>
      <c r="AB83" s="165"/>
      <c r="AC83" s="338"/>
      <c r="AD83" s="165"/>
      <c r="AE83" s="165"/>
      <c r="AF83" s="227"/>
      <c r="AG83" s="167"/>
      <c r="AH83" s="167"/>
      <c r="AI83" s="178"/>
    </row>
    <row r="84" spans="1:35" s="166" customFormat="1" ht="24" customHeight="1" x14ac:dyDescent="0.2">
      <c r="A84" s="167"/>
      <c r="B84" s="229"/>
      <c r="C84" s="326"/>
      <c r="D84" s="326"/>
      <c r="E84" s="165"/>
      <c r="F84" s="165"/>
      <c r="G84" s="165"/>
      <c r="H84" s="165"/>
      <c r="I84" s="165"/>
      <c r="J84" s="165"/>
      <c r="K84" s="165"/>
      <c r="L84" s="165"/>
      <c r="M84" s="165"/>
      <c r="N84" s="165"/>
      <c r="O84" s="165"/>
      <c r="P84" s="165"/>
      <c r="Q84" s="165"/>
      <c r="R84" s="165"/>
      <c r="S84" s="165"/>
      <c r="T84" s="165"/>
      <c r="U84" s="165"/>
      <c r="V84" s="165"/>
      <c r="W84" s="165"/>
      <c r="X84" s="165"/>
      <c r="Y84" s="165"/>
      <c r="Z84" s="165"/>
      <c r="AA84" s="165"/>
      <c r="AB84" s="165"/>
      <c r="AC84" s="338"/>
      <c r="AD84" s="165"/>
      <c r="AE84" s="165"/>
      <c r="AF84" s="227"/>
      <c r="AG84" s="167"/>
      <c r="AH84" s="167"/>
      <c r="AI84" s="178"/>
    </row>
    <row r="85" spans="1:35" s="166" customFormat="1" ht="24" customHeight="1" x14ac:dyDescent="0.2">
      <c r="A85" s="167"/>
      <c r="B85" s="229"/>
      <c r="C85" s="326"/>
      <c r="D85" s="326"/>
      <c r="E85" s="165"/>
      <c r="F85" s="165"/>
      <c r="G85" s="165"/>
      <c r="H85" s="165"/>
      <c r="I85" s="165"/>
      <c r="J85" s="165"/>
      <c r="K85" s="165"/>
      <c r="L85" s="165"/>
      <c r="M85" s="165"/>
      <c r="N85" s="165"/>
      <c r="O85" s="165"/>
      <c r="P85" s="165"/>
      <c r="Q85" s="165"/>
      <c r="R85" s="165"/>
      <c r="S85" s="165"/>
      <c r="T85" s="165"/>
      <c r="U85" s="165"/>
      <c r="V85" s="165"/>
      <c r="W85" s="165"/>
      <c r="X85" s="165"/>
      <c r="Y85" s="165"/>
      <c r="Z85" s="165"/>
      <c r="AA85" s="165"/>
      <c r="AB85" s="165"/>
      <c r="AC85" s="338"/>
      <c r="AD85" s="165"/>
      <c r="AE85" s="165"/>
      <c r="AF85" s="227"/>
      <c r="AG85" s="167"/>
      <c r="AH85" s="167"/>
      <c r="AI85" s="178"/>
    </row>
    <row r="86" spans="1:35" s="166" customFormat="1" ht="24" customHeight="1" x14ac:dyDescent="0.2">
      <c r="A86" s="167"/>
      <c r="B86" s="229"/>
      <c r="C86" s="326"/>
      <c r="D86" s="326"/>
      <c r="E86" s="165"/>
      <c r="F86" s="165"/>
      <c r="G86" s="165"/>
      <c r="H86" s="165"/>
      <c r="I86" s="165"/>
      <c r="J86" s="165"/>
      <c r="K86" s="165"/>
      <c r="L86" s="165"/>
      <c r="M86" s="165"/>
      <c r="N86" s="165"/>
      <c r="O86" s="165"/>
      <c r="P86" s="165"/>
      <c r="Q86" s="165"/>
      <c r="R86" s="165"/>
      <c r="S86" s="165"/>
      <c r="T86" s="165"/>
      <c r="U86" s="165"/>
      <c r="V86" s="165"/>
      <c r="W86" s="165"/>
      <c r="X86" s="165"/>
      <c r="Y86" s="165"/>
      <c r="Z86" s="165"/>
      <c r="AA86" s="165"/>
      <c r="AB86" s="165"/>
      <c r="AC86" s="338"/>
      <c r="AD86" s="165"/>
      <c r="AE86" s="165"/>
      <c r="AF86" s="227"/>
      <c r="AG86" s="167"/>
      <c r="AH86" s="167"/>
      <c r="AI86" s="178"/>
    </row>
    <row r="87" spans="1:35" s="166" customFormat="1" ht="24" customHeight="1" x14ac:dyDescent="0.2">
      <c r="A87" s="167"/>
      <c r="B87" s="229"/>
      <c r="C87" s="326"/>
      <c r="D87" s="326"/>
      <c r="E87" s="165"/>
      <c r="F87" s="165"/>
      <c r="G87" s="165"/>
      <c r="H87" s="165"/>
      <c r="I87" s="165"/>
      <c r="J87" s="165"/>
      <c r="K87" s="165"/>
      <c r="L87" s="165"/>
      <c r="M87" s="165"/>
      <c r="N87" s="165"/>
      <c r="O87" s="165"/>
      <c r="P87" s="165"/>
      <c r="Q87" s="165"/>
      <c r="R87" s="165"/>
      <c r="S87" s="165"/>
      <c r="T87" s="165"/>
      <c r="U87" s="165"/>
      <c r="V87" s="165"/>
      <c r="W87" s="165"/>
      <c r="X87" s="165"/>
      <c r="Y87" s="165"/>
      <c r="Z87" s="165"/>
      <c r="AA87" s="165"/>
      <c r="AB87" s="165"/>
      <c r="AC87" s="338"/>
      <c r="AD87" s="165"/>
      <c r="AE87" s="165"/>
      <c r="AF87" s="227"/>
      <c r="AG87" s="167"/>
      <c r="AH87" s="167"/>
      <c r="AI87" s="178"/>
    </row>
    <row r="88" spans="1:35" s="166" customFormat="1" ht="24" customHeight="1" x14ac:dyDescent="0.2">
      <c r="A88" s="167"/>
      <c r="B88" s="229"/>
      <c r="C88" s="326"/>
      <c r="D88" s="326"/>
      <c r="E88" s="165"/>
      <c r="F88" s="165"/>
      <c r="G88" s="165"/>
      <c r="H88" s="165"/>
      <c r="I88" s="165"/>
      <c r="J88" s="165"/>
      <c r="K88" s="165"/>
      <c r="L88" s="165"/>
      <c r="M88" s="165"/>
      <c r="N88" s="165"/>
      <c r="O88" s="165"/>
      <c r="P88" s="165"/>
      <c r="Q88" s="165"/>
      <c r="R88" s="165"/>
      <c r="S88" s="165"/>
      <c r="T88" s="165"/>
      <c r="U88" s="165"/>
      <c r="V88" s="165"/>
      <c r="W88" s="165"/>
      <c r="X88" s="165"/>
      <c r="Y88" s="165"/>
      <c r="Z88" s="165"/>
      <c r="AA88" s="165"/>
      <c r="AB88" s="165"/>
      <c r="AC88" s="338"/>
      <c r="AD88" s="165"/>
      <c r="AE88" s="165"/>
      <c r="AF88" s="227"/>
      <c r="AG88" s="167"/>
      <c r="AH88" s="167"/>
      <c r="AI88" s="178"/>
    </row>
    <row r="89" spans="1:35" s="166" customFormat="1" ht="24" customHeight="1" x14ac:dyDescent="0.2">
      <c r="A89" s="167"/>
      <c r="B89" s="229"/>
      <c r="C89" s="326"/>
      <c r="D89" s="326"/>
      <c r="E89" s="165"/>
      <c r="F89" s="165"/>
      <c r="G89" s="165"/>
      <c r="H89" s="165"/>
      <c r="I89" s="165"/>
      <c r="J89" s="165"/>
      <c r="K89" s="165"/>
      <c r="L89" s="165"/>
      <c r="M89" s="165"/>
      <c r="N89" s="165"/>
      <c r="O89" s="165"/>
      <c r="P89" s="165"/>
      <c r="Q89" s="165"/>
      <c r="R89" s="165"/>
      <c r="S89" s="165"/>
      <c r="T89" s="165"/>
      <c r="U89" s="165"/>
      <c r="V89" s="165"/>
      <c r="W89" s="165"/>
      <c r="X89" s="165"/>
      <c r="Y89" s="165"/>
      <c r="Z89" s="165"/>
      <c r="AA89" s="165"/>
      <c r="AB89" s="165"/>
      <c r="AC89" s="338"/>
      <c r="AD89" s="165"/>
      <c r="AE89" s="165"/>
      <c r="AF89" s="227"/>
      <c r="AG89" s="167"/>
      <c r="AH89" s="167"/>
      <c r="AI89" s="178"/>
    </row>
    <row r="90" spans="1:35" s="166" customFormat="1" ht="24" customHeight="1" x14ac:dyDescent="0.2">
      <c r="A90" s="167"/>
      <c r="B90" s="229"/>
      <c r="C90" s="326"/>
      <c r="D90" s="326"/>
      <c r="E90" s="165"/>
      <c r="F90" s="165"/>
      <c r="G90" s="165"/>
      <c r="H90" s="165"/>
      <c r="I90" s="165"/>
      <c r="J90" s="165"/>
      <c r="K90" s="165"/>
      <c r="L90" s="165"/>
      <c r="M90" s="165"/>
      <c r="N90" s="165"/>
      <c r="O90" s="165"/>
      <c r="P90" s="165"/>
      <c r="Q90" s="165"/>
      <c r="R90" s="165"/>
      <c r="S90" s="165"/>
      <c r="T90" s="165"/>
      <c r="U90" s="165"/>
      <c r="V90" s="165"/>
      <c r="W90" s="165"/>
      <c r="X90" s="165"/>
      <c r="Y90" s="165"/>
      <c r="Z90" s="165"/>
      <c r="AA90" s="165"/>
      <c r="AB90" s="165"/>
      <c r="AC90" s="338"/>
      <c r="AD90" s="165"/>
      <c r="AE90" s="165"/>
      <c r="AF90" s="227"/>
      <c r="AG90" s="167"/>
      <c r="AH90" s="167"/>
      <c r="AI90" s="178"/>
    </row>
    <row r="91" spans="1:35" s="166" customFormat="1" ht="24" customHeight="1" x14ac:dyDescent="0.2">
      <c r="A91" s="167"/>
      <c r="B91" s="229"/>
      <c r="C91" s="326"/>
      <c r="D91" s="326"/>
      <c r="E91" s="165"/>
      <c r="F91" s="165"/>
      <c r="G91" s="165"/>
      <c r="H91" s="165"/>
      <c r="I91" s="165"/>
      <c r="J91" s="165"/>
      <c r="K91" s="165"/>
      <c r="L91" s="165"/>
      <c r="M91" s="165"/>
      <c r="N91" s="165"/>
      <c r="O91" s="165"/>
      <c r="P91" s="165"/>
      <c r="Q91" s="165"/>
      <c r="R91" s="165"/>
      <c r="S91" s="165"/>
      <c r="T91" s="165"/>
      <c r="U91" s="165"/>
      <c r="V91" s="165"/>
      <c r="W91" s="165"/>
      <c r="X91" s="165"/>
      <c r="Y91" s="165"/>
      <c r="Z91" s="165"/>
      <c r="AA91" s="165"/>
      <c r="AB91" s="165"/>
      <c r="AC91" s="338"/>
      <c r="AD91" s="165"/>
      <c r="AE91" s="165"/>
      <c r="AF91" s="227"/>
      <c r="AG91" s="167"/>
      <c r="AH91" s="167"/>
      <c r="AI91" s="178"/>
    </row>
    <row r="92" spans="1:35" s="166" customFormat="1" ht="24" customHeight="1" x14ac:dyDescent="0.2">
      <c r="A92" s="167"/>
      <c r="B92" s="164"/>
      <c r="C92" s="326"/>
      <c r="D92" s="326"/>
      <c r="E92" s="165"/>
      <c r="F92" s="165"/>
      <c r="G92" s="165"/>
      <c r="H92" s="165"/>
      <c r="I92" s="165"/>
      <c r="J92" s="165"/>
      <c r="K92" s="165"/>
      <c r="L92" s="165"/>
      <c r="M92" s="165"/>
      <c r="N92" s="165"/>
      <c r="O92" s="165"/>
      <c r="P92" s="165"/>
      <c r="Q92" s="165"/>
      <c r="R92" s="165"/>
      <c r="S92" s="165"/>
      <c r="T92" s="165"/>
      <c r="U92" s="165"/>
      <c r="V92" s="165"/>
      <c r="W92" s="165"/>
      <c r="X92" s="165"/>
      <c r="Y92" s="165"/>
      <c r="Z92" s="165"/>
      <c r="AA92" s="165"/>
      <c r="AB92" s="165"/>
      <c r="AC92" s="338"/>
      <c r="AD92" s="165"/>
      <c r="AE92" s="165"/>
      <c r="AF92" s="227"/>
      <c r="AG92" s="167"/>
      <c r="AH92" s="167"/>
      <c r="AI92" s="178"/>
    </row>
    <row r="93" spans="1:35" s="166" customFormat="1" ht="24" customHeight="1" x14ac:dyDescent="0.2">
      <c r="A93" s="167"/>
      <c r="B93" s="164"/>
      <c r="C93" s="326"/>
      <c r="D93" s="326"/>
      <c r="E93" s="165"/>
      <c r="F93" s="165"/>
      <c r="G93" s="165"/>
      <c r="H93" s="165"/>
      <c r="I93" s="165"/>
      <c r="J93" s="165"/>
      <c r="K93" s="165"/>
      <c r="L93" s="165"/>
      <c r="M93" s="165"/>
      <c r="N93" s="165"/>
      <c r="O93" s="165"/>
      <c r="P93" s="165"/>
      <c r="Q93" s="165"/>
      <c r="R93" s="165"/>
      <c r="S93" s="165"/>
      <c r="T93" s="165"/>
      <c r="U93" s="165"/>
      <c r="V93" s="165"/>
      <c r="W93" s="165"/>
      <c r="X93" s="165"/>
      <c r="Y93" s="165"/>
      <c r="Z93" s="165"/>
      <c r="AA93" s="165"/>
      <c r="AB93" s="165"/>
      <c r="AC93" s="338"/>
      <c r="AD93" s="165"/>
      <c r="AE93" s="165"/>
      <c r="AF93" s="227"/>
      <c r="AG93" s="167"/>
      <c r="AH93" s="167"/>
      <c r="AI93" s="178"/>
    </row>
    <row r="94" spans="1:35" s="166" customFormat="1" ht="24" customHeight="1" x14ac:dyDescent="0.2">
      <c r="A94" s="167"/>
      <c r="B94" s="164"/>
      <c r="C94" s="326"/>
      <c r="D94" s="326"/>
      <c r="E94" s="165"/>
      <c r="F94" s="165"/>
      <c r="G94" s="165"/>
      <c r="H94" s="165"/>
      <c r="I94" s="165"/>
      <c r="J94" s="165"/>
      <c r="K94" s="165"/>
      <c r="L94" s="165"/>
      <c r="M94" s="165"/>
      <c r="N94" s="165"/>
      <c r="O94" s="165"/>
      <c r="P94" s="165"/>
      <c r="Q94" s="165"/>
      <c r="R94" s="165"/>
      <c r="S94" s="165"/>
      <c r="T94" s="165"/>
      <c r="U94" s="165"/>
      <c r="V94" s="165"/>
      <c r="W94" s="165"/>
      <c r="X94" s="165"/>
      <c r="Y94" s="165"/>
      <c r="Z94" s="165"/>
      <c r="AA94" s="165"/>
      <c r="AB94" s="165"/>
      <c r="AC94" s="338"/>
      <c r="AD94" s="165"/>
      <c r="AE94" s="165"/>
      <c r="AF94" s="227"/>
      <c r="AG94" s="167"/>
      <c r="AH94" s="167"/>
      <c r="AI94" s="178"/>
    </row>
    <row r="95" spans="1:35" s="166" customFormat="1" ht="24" customHeight="1" thickBot="1" x14ac:dyDescent="0.25">
      <c r="A95" s="167"/>
      <c r="B95" s="164"/>
      <c r="C95" s="326"/>
      <c r="D95" s="326"/>
      <c r="E95" s="165"/>
      <c r="F95" s="165"/>
      <c r="G95" s="165"/>
      <c r="H95" s="165"/>
      <c r="I95" s="165"/>
      <c r="J95" s="165"/>
      <c r="K95" s="165"/>
      <c r="L95" s="165"/>
      <c r="M95" s="165"/>
      <c r="N95" s="165"/>
      <c r="O95" s="165"/>
      <c r="P95" s="165"/>
      <c r="Q95" s="165"/>
      <c r="R95" s="165"/>
      <c r="S95" s="165"/>
      <c r="T95" s="165"/>
      <c r="U95" s="165"/>
      <c r="V95" s="165"/>
      <c r="W95" s="165"/>
      <c r="X95" s="165"/>
      <c r="Y95" s="165"/>
      <c r="Z95" s="165"/>
      <c r="AA95" s="165"/>
      <c r="AB95" s="165"/>
      <c r="AC95" s="338"/>
      <c r="AD95" s="165"/>
      <c r="AE95" s="165"/>
      <c r="AF95" s="227"/>
      <c r="AG95" s="167"/>
      <c r="AH95" s="167"/>
      <c r="AI95" s="178"/>
    </row>
    <row r="96" spans="1:35" s="166" customFormat="1" ht="0.6" customHeight="1" thickBot="1" x14ac:dyDescent="0.25">
      <c r="B96" s="182"/>
      <c r="C96" s="322"/>
      <c r="D96" s="322"/>
      <c r="E96" s="177"/>
      <c r="F96" s="323"/>
      <c r="G96" s="169"/>
      <c r="H96" s="169"/>
      <c r="I96" s="169"/>
      <c r="J96" s="169"/>
      <c r="K96" s="169"/>
      <c r="L96" s="169"/>
      <c r="M96" s="324"/>
      <c r="N96" s="165"/>
      <c r="O96" s="177"/>
      <c r="P96" s="325"/>
      <c r="Q96" s="323"/>
      <c r="R96" s="169"/>
      <c r="S96" s="169"/>
      <c r="T96" s="169"/>
      <c r="U96" s="169"/>
      <c r="V96" s="324"/>
      <c r="W96" s="177"/>
      <c r="X96" s="177"/>
      <c r="Y96" s="165"/>
      <c r="Z96" s="177"/>
      <c r="AA96" s="323"/>
      <c r="AB96" s="169"/>
      <c r="AC96" s="337"/>
      <c r="AD96" s="324"/>
      <c r="AE96" s="177"/>
      <c r="AF96" s="350"/>
      <c r="AG96" s="179"/>
      <c r="AH96" s="179"/>
      <c r="AI96" s="178"/>
    </row>
    <row r="97" spans="1:36" s="166" customFormat="1" ht="24" hidden="1" customHeight="1" x14ac:dyDescent="0.2">
      <c r="B97" s="182"/>
      <c r="C97" s="183"/>
      <c r="D97" s="183"/>
      <c r="E97" s="184"/>
      <c r="F97" s="185"/>
      <c r="G97" s="186"/>
      <c r="H97" s="186"/>
      <c r="I97" s="186"/>
      <c r="J97" s="186"/>
      <c r="K97" s="186"/>
      <c r="L97" s="186"/>
      <c r="M97" s="187"/>
      <c r="N97" s="188"/>
      <c r="O97" s="184"/>
      <c r="P97" s="181"/>
      <c r="Q97" s="185"/>
      <c r="R97" s="186"/>
      <c r="S97" s="186"/>
      <c r="T97" s="186"/>
      <c r="U97" s="186"/>
      <c r="V97" s="187"/>
      <c r="W97" s="184"/>
      <c r="X97" s="184"/>
      <c r="Y97" s="188"/>
      <c r="Z97" s="184"/>
      <c r="AA97" s="185"/>
      <c r="AB97" s="186"/>
      <c r="AC97" s="189"/>
      <c r="AD97" s="187"/>
      <c r="AE97" s="184"/>
      <c r="AF97" s="350"/>
      <c r="AG97" s="179"/>
      <c r="AH97" s="179"/>
      <c r="AI97" s="178"/>
    </row>
    <row r="98" spans="1:36" s="166" customFormat="1" ht="24" hidden="1" customHeight="1" x14ac:dyDescent="0.2">
      <c r="B98" s="182"/>
      <c r="C98" s="183"/>
      <c r="D98" s="183"/>
      <c r="E98" s="184"/>
      <c r="F98" s="185"/>
      <c r="G98" s="186"/>
      <c r="H98" s="186"/>
      <c r="I98" s="186"/>
      <c r="J98" s="186"/>
      <c r="K98" s="186"/>
      <c r="L98" s="186"/>
      <c r="M98" s="187"/>
      <c r="N98" s="188"/>
      <c r="O98" s="184"/>
      <c r="P98" s="181"/>
      <c r="Q98" s="185"/>
      <c r="R98" s="186"/>
      <c r="S98" s="186"/>
      <c r="T98" s="186"/>
      <c r="U98" s="186"/>
      <c r="V98" s="187"/>
      <c r="W98" s="184"/>
      <c r="X98" s="184"/>
      <c r="Y98" s="188"/>
      <c r="Z98" s="184"/>
      <c r="AA98" s="185"/>
      <c r="AB98" s="186"/>
      <c r="AC98" s="189"/>
      <c r="AD98" s="187"/>
      <c r="AE98" s="184"/>
      <c r="AF98" s="350"/>
      <c r="AG98" s="179"/>
      <c r="AH98" s="179"/>
      <c r="AI98" s="178"/>
    </row>
    <row r="99" spans="1:36" s="166" customFormat="1" ht="24" hidden="1" customHeight="1" x14ac:dyDescent="0.2">
      <c r="B99" s="182"/>
      <c r="C99" s="183"/>
      <c r="D99" s="183"/>
      <c r="E99" s="184"/>
      <c r="F99" s="185"/>
      <c r="G99" s="186"/>
      <c r="H99" s="186"/>
      <c r="I99" s="186"/>
      <c r="J99" s="186"/>
      <c r="K99" s="186"/>
      <c r="L99" s="186"/>
      <c r="M99" s="187"/>
      <c r="N99" s="188"/>
      <c r="O99" s="184"/>
      <c r="P99" s="181"/>
      <c r="Q99" s="185"/>
      <c r="R99" s="186"/>
      <c r="S99" s="186"/>
      <c r="T99" s="186"/>
      <c r="U99" s="186"/>
      <c r="V99" s="187"/>
      <c r="W99" s="184"/>
      <c r="X99" s="184"/>
      <c r="Y99" s="188"/>
      <c r="Z99" s="184"/>
      <c r="AA99" s="185"/>
      <c r="AB99" s="186"/>
      <c r="AC99" s="189"/>
      <c r="AD99" s="187"/>
      <c r="AE99" s="184"/>
      <c r="AF99" s="350"/>
      <c r="AG99" s="179"/>
      <c r="AH99" s="179"/>
      <c r="AI99" s="178"/>
    </row>
    <row r="100" spans="1:36" s="166" customFormat="1" ht="24" hidden="1" customHeight="1" x14ac:dyDescent="0.2">
      <c r="B100" s="182"/>
      <c r="C100" s="183"/>
      <c r="D100" s="183"/>
      <c r="E100" s="184"/>
      <c r="F100" s="376"/>
      <c r="G100" s="188"/>
      <c r="H100" s="188"/>
      <c r="I100" s="188"/>
      <c r="J100" s="188"/>
      <c r="K100" s="188"/>
      <c r="L100" s="188"/>
      <c r="M100" s="377"/>
      <c r="N100" s="188"/>
      <c r="O100" s="184"/>
      <c r="P100" s="184"/>
      <c r="Q100" s="376"/>
      <c r="R100" s="188"/>
      <c r="S100" s="188"/>
      <c r="T100" s="188"/>
      <c r="U100" s="188"/>
      <c r="V100" s="377"/>
      <c r="W100" s="184"/>
      <c r="X100" s="184"/>
      <c r="Y100" s="188"/>
      <c r="Z100" s="184"/>
      <c r="AA100" s="376"/>
      <c r="AB100" s="188"/>
      <c r="AC100" s="188"/>
      <c r="AD100" s="377"/>
      <c r="AE100" s="184"/>
      <c r="AF100" s="352"/>
      <c r="AG100" s="167"/>
      <c r="AH100" s="167"/>
      <c r="AI100" s="178"/>
    </row>
    <row r="101" spans="1:36" s="166" customFormat="1" ht="21.75" customHeight="1" x14ac:dyDescent="0.2">
      <c r="B101" s="512"/>
      <c r="C101" s="513"/>
      <c r="D101" s="517" t="s">
        <v>1</v>
      </c>
      <c r="E101" s="517" t="s">
        <v>2</v>
      </c>
      <c r="F101" s="548" t="s">
        <v>3</v>
      </c>
      <c r="G101" s="549"/>
      <c r="H101" s="549"/>
      <c r="I101" s="549"/>
      <c r="J101" s="549"/>
      <c r="K101" s="549"/>
      <c r="L101" s="549"/>
      <c r="M101" s="550"/>
      <c r="N101" s="516"/>
      <c r="O101" s="517" t="s">
        <v>4</v>
      </c>
      <c r="P101" s="518"/>
      <c r="Q101" s="548" t="s">
        <v>5</v>
      </c>
      <c r="R101" s="549"/>
      <c r="S101" s="549"/>
      <c r="T101" s="549"/>
      <c r="U101" s="549"/>
      <c r="V101" s="550"/>
      <c r="W101" s="517" t="s">
        <v>6</v>
      </c>
      <c r="X101" s="517" t="s">
        <v>7</v>
      </c>
      <c r="Y101" s="516"/>
      <c r="Z101" s="517" t="s">
        <v>8</v>
      </c>
      <c r="AA101" s="548" t="s">
        <v>9</v>
      </c>
      <c r="AB101" s="549"/>
      <c r="AC101" s="549"/>
      <c r="AD101" s="550"/>
      <c r="AE101" s="533" t="s">
        <v>10</v>
      </c>
      <c r="AF101" s="604" t="s">
        <v>251</v>
      </c>
      <c r="AG101" s="610" t="s">
        <v>35</v>
      </c>
      <c r="AH101" s="610"/>
      <c r="AI101" s="378"/>
    </row>
    <row r="102" spans="1:36" s="166" customFormat="1" ht="24.75" customHeight="1" x14ac:dyDescent="0.2">
      <c r="B102" s="520" t="s">
        <v>230</v>
      </c>
      <c r="C102" s="521" t="s">
        <v>12</v>
      </c>
      <c r="D102" s="534" t="s">
        <v>13</v>
      </c>
      <c r="E102" s="526" t="s">
        <v>14</v>
      </c>
      <c r="F102" s="524" t="s">
        <v>2</v>
      </c>
      <c r="G102" s="524" t="s">
        <v>15</v>
      </c>
      <c r="H102" s="524" t="s">
        <v>15</v>
      </c>
      <c r="I102" s="524" t="s">
        <v>16</v>
      </c>
      <c r="J102" s="524" t="s">
        <v>4</v>
      </c>
      <c r="K102" s="524" t="s">
        <v>17</v>
      </c>
      <c r="L102" s="524" t="s">
        <v>17</v>
      </c>
      <c r="M102" s="524" t="s">
        <v>18</v>
      </c>
      <c r="N102" s="525"/>
      <c r="O102" s="526" t="s">
        <v>19</v>
      </c>
      <c r="P102" s="527" t="s">
        <v>20</v>
      </c>
      <c r="Q102" s="527" t="s">
        <v>21</v>
      </c>
      <c r="R102" s="527" t="s">
        <v>22</v>
      </c>
      <c r="S102" s="527" t="s">
        <v>23</v>
      </c>
      <c r="T102" s="527" t="s">
        <v>24</v>
      </c>
      <c r="U102" s="527" t="s">
        <v>25</v>
      </c>
      <c r="V102" s="527" t="s">
        <v>7</v>
      </c>
      <c r="W102" s="526" t="s">
        <v>26</v>
      </c>
      <c r="X102" s="526" t="s">
        <v>27</v>
      </c>
      <c r="Y102" s="525"/>
      <c r="Z102" s="526" t="s">
        <v>28</v>
      </c>
      <c r="AA102" s="524" t="s">
        <v>29</v>
      </c>
      <c r="AB102" s="524" t="s">
        <v>30</v>
      </c>
      <c r="AC102" s="524" t="s">
        <v>183</v>
      </c>
      <c r="AD102" s="524" t="s">
        <v>33</v>
      </c>
      <c r="AE102" s="535" t="s">
        <v>34</v>
      </c>
      <c r="AF102" s="604"/>
      <c r="AG102" s="610"/>
      <c r="AH102" s="610"/>
      <c r="AI102" s="384"/>
    </row>
    <row r="103" spans="1:36" s="166" customFormat="1" ht="16.5" customHeight="1" x14ac:dyDescent="0.2">
      <c r="B103" s="520"/>
      <c r="C103" s="526"/>
      <c r="D103" s="526"/>
      <c r="E103" s="526"/>
      <c r="F103" s="526" t="s">
        <v>36</v>
      </c>
      <c r="G103" s="526" t="s">
        <v>37</v>
      </c>
      <c r="H103" s="526" t="s">
        <v>38</v>
      </c>
      <c r="I103" s="526"/>
      <c r="J103" s="526" t="s">
        <v>19</v>
      </c>
      <c r="K103" s="526" t="s">
        <v>39</v>
      </c>
      <c r="L103" s="526" t="s">
        <v>40</v>
      </c>
      <c r="M103" s="526" t="s">
        <v>41</v>
      </c>
      <c r="N103" s="525"/>
      <c r="O103" s="526" t="s">
        <v>42</v>
      </c>
      <c r="P103" s="524" t="s">
        <v>43</v>
      </c>
      <c r="Q103" s="524" t="s">
        <v>44</v>
      </c>
      <c r="R103" s="524" t="s">
        <v>45</v>
      </c>
      <c r="S103" s="524" t="s">
        <v>45</v>
      </c>
      <c r="T103" s="524" t="s">
        <v>46</v>
      </c>
      <c r="U103" s="524" t="s">
        <v>47</v>
      </c>
      <c r="V103" s="524" t="s">
        <v>48</v>
      </c>
      <c r="W103" s="526" t="s">
        <v>49</v>
      </c>
      <c r="X103" s="529" t="s">
        <v>50</v>
      </c>
      <c r="Y103" s="530"/>
      <c r="Z103" s="526" t="s">
        <v>51</v>
      </c>
      <c r="AA103" s="526"/>
      <c r="AB103" s="531"/>
      <c r="AC103" s="526"/>
      <c r="AD103" s="526" t="s">
        <v>54</v>
      </c>
      <c r="AE103" s="535" t="s">
        <v>55</v>
      </c>
      <c r="AF103" s="605"/>
      <c r="AG103" s="536"/>
      <c r="AH103" s="537"/>
      <c r="AI103" s="379"/>
    </row>
    <row r="104" spans="1:36" s="166" customFormat="1" ht="26.45" customHeight="1" x14ac:dyDescent="0.2">
      <c r="B104" s="435"/>
      <c r="C104" s="451" t="s">
        <v>93</v>
      </c>
      <c r="D104" s="225"/>
      <c r="E104" s="436"/>
      <c r="F104" s="330"/>
      <c r="G104" s="436">
        <v>2</v>
      </c>
      <c r="H104" s="436">
        <f t="shared" ref="H104:H111" si="98">G104</f>
        <v>2</v>
      </c>
      <c r="I104" s="436">
        <v>0</v>
      </c>
      <c r="J104" s="436">
        <v>0</v>
      </c>
      <c r="K104" s="436"/>
      <c r="L104" s="436"/>
      <c r="M104" s="330"/>
      <c r="N104" s="330"/>
      <c r="O104" s="330">
        <f t="shared" ref="O104:O109" si="99">IF(E104=47.16,0,IF(E104&gt;47.16,J104*0.5,0))</f>
        <v>0</v>
      </c>
      <c r="P104" s="330">
        <f t="shared" ref="P104:P109" si="100">F104+G104+H104+K104+O104+I104</f>
        <v>4</v>
      </c>
      <c r="Q104" s="330">
        <f t="shared" ref="Q104:Q109" si="101">VLOOKUP(P104,Tarifa1,1)</f>
        <v>0.01</v>
      </c>
      <c r="R104" s="330">
        <f t="shared" ref="R104:R109" si="102">P104-Q104</f>
        <v>3.99</v>
      </c>
      <c r="S104" s="330">
        <f t="shared" ref="S104:S109" si="103">VLOOKUP(P104,Tarifa1,3)</f>
        <v>1.9199999999999998E-2</v>
      </c>
      <c r="T104" s="330">
        <f t="shared" ref="T104:T109" si="104">R104*S104</f>
        <v>7.6607999999999996E-2</v>
      </c>
      <c r="U104" s="330">
        <f t="shared" ref="U104:U109" si="105">VLOOKUP(P104,Tarifa1,2)</f>
        <v>0</v>
      </c>
      <c r="V104" s="330">
        <f t="shared" ref="V104:V109" si="106">T104+U104</f>
        <v>7.6607999999999996E-2</v>
      </c>
      <c r="W104" s="330">
        <f t="shared" ref="W104:W109" si="107">VLOOKUP(P104,Credito1,2)</f>
        <v>100.425</v>
      </c>
      <c r="X104" s="330">
        <f t="shared" ref="X104:X109" si="108">V104-W104</f>
        <v>-100.348392</v>
      </c>
      <c r="Y104" s="330"/>
      <c r="Z104" s="330"/>
      <c r="AA104" s="330"/>
      <c r="AB104" s="330"/>
      <c r="AC104" s="330"/>
      <c r="AD104" s="330"/>
      <c r="AE104" s="330"/>
      <c r="AF104" s="346"/>
      <c r="AG104" s="539"/>
      <c r="AH104" s="540"/>
      <c r="AI104" s="372"/>
    </row>
    <row r="105" spans="1:36" s="166" customFormat="1" ht="36.75" customHeight="1" x14ac:dyDescent="0.2">
      <c r="B105" s="468">
        <v>30</v>
      </c>
      <c r="C105" s="341" t="s">
        <v>235</v>
      </c>
      <c r="D105" s="230" t="s">
        <v>94</v>
      </c>
      <c r="E105" s="436">
        <v>108.93</v>
      </c>
      <c r="F105" s="330">
        <v>1783.98</v>
      </c>
      <c r="G105" s="436">
        <v>3</v>
      </c>
      <c r="H105" s="436">
        <f t="shared" si="98"/>
        <v>3</v>
      </c>
      <c r="I105" s="436">
        <v>0</v>
      </c>
      <c r="J105" s="436">
        <v>0</v>
      </c>
      <c r="K105" s="436"/>
      <c r="L105" s="436"/>
      <c r="M105" s="330">
        <f>F105+L105+Z105</f>
        <v>1783.98</v>
      </c>
      <c r="N105" s="330"/>
      <c r="O105" s="330">
        <f t="shared" si="99"/>
        <v>0</v>
      </c>
      <c r="P105" s="330">
        <f t="shared" si="100"/>
        <v>1789.98</v>
      </c>
      <c r="Q105" s="330">
        <f t="shared" si="101"/>
        <v>1211.405</v>
      </c>
      <c r="R105" s="330">
        <f t="shared" si="102"/>
        <v>578.57500000000005</v>
      </c>
      <c r="S105" s="330">
        <f t="shared" si="103"/>
        <v>0.10879999999999999</v>
      </c>
      <c r="T105" s="330">
        <f t="shared" si="104"/>
        <v>62.94896</v>
      </c>
      <c r="U105" s="330">
        <f t="shared" si="105"/>
        <v>71.099999999999994</v>
      </c>
      <c r="V105" s="330">
        <f t="shared" si="106"/>
        <v>134.04895999999999</v>
      </c>
      <c r="W105" s="330">
        <f t="shared" si="107"/>
        <v>53.7</v>
      </c>
      <c r="X105" s="330">
        <f t="shared" si="108"/>
        <v>80.348959999999991</v>
      </c>
      <c r="Y105" s="330"/>
      <c r="Z105" s="330"/>
      <c r="AA105" s="330">
        <v>101.46</v>
      </c>
      <c r="AB105" s="330"/>
      <c r="AC105" s="330"/>
      <c r="AD105" s="330">
        <f>AA105</f>
        <v>101.46</v>
      </c>
      <c r="AE105" s="330">
        <f>M105-AA105</f>
        <v>1682.52</v>
      </c>
      <c r="AF105" s="398" t="s">
        <v>253</v>
      </c>
      <c r="AG105" s="539"/>
      <c r="AH105" s="540"/>
      <c r="AI105" s="372"/>
    </row>
    <row r="106" spans="1:36" s="166" customFormat="1" ht="41.25" customHeight="1" x14ac:dyDescent="0.2">
      <c r="B106" s="468">
        <v>31</v>
      </c>
      <c r="C106" s="341" t="s">
        <v>236</v>
      </c>
      <c r="D106" s="180" t="s">
        <v>95</v>
      </c>
      <c r="E106" s="436">
        <v>108.93</v>
      </c>
      <c r="F106" s="330">
        <v>1783.98</v>
      </c>
      <c r="G106" s="436">
        <v>0</v>
      </c>
      <c r="H106" s="436">
        <f t="shared" si="98"/>
        <v>0</v>
      </c>
      <c r="I106" s="436">
        <v>0</v>
      </c>
      <c r="J106" s="436">
        <v>0</v>
      </c>
      <c r="K106" s="436">
        <v>0</v>
      </c>
      <c r="L106" s="436"/>
      <c r="M106" s="330">
        <f>SUM(F106:L106)+Z106</f>
        <v>1783.98</v>
      </c>
      <c r="N106" s="330"/>
      <c r="O106" s="330">
        <f t="shared" si="99"/>
        <v>0</v>
      </c>
      <c r="P106" s="330">
        <f t="shared" si="100"/>
        <v>1783.98</v>
      </c>
      <c r="Q106" s="330">
        <f t="shared" si="101"/>
        <v>1211.405</v>
      </c>
      <c r="R106" s="330">
        <f t="shared" si="102"/>
        <v>572.57500000000005</v>
      </c>
      <c r="S106" s="330">
        <f t="shared" si="103"/>
        <v>0.10879999999999999</v>
      </c>
      <c r="T106" s="330">
        <f t="shared" si="104"/>
        <v>62.29616</v>
      </c>
      <c r="U106" s="330">
        <f t="shared" si="105"/>
        <v>71.099999999999994</v>
      </c>
      <c r="V106" s="330">
        <f t="shared" si="106"/>
        <v>133.39616000000001</v>
      </c>
      <c r="W106" s="330">
        <f t="shared" si="107"/>
        <v>53.7</v>
      </c>
      <c r="X106" s="330">
        <f t="shared" si="108"/>
        <v>79.696160000000006</v>
      </c>
      <c r="Y106" s="330"/>
      <c r="Z106" s="330"/>
      <c r="AA106" s="330">
        <v>101.46</v>
      </c>
      <c r="AB106" s="330"/>
      <c r="AC106" s="330"/>
      <c r="AD106" s="330">
        <f t="shared" ref="AD106:AD143" si="109">AA106</f>
        <v>101.46</v>
      </c>
      <c r="AE106" s="330">
        <f t="shared" ref="AE106:AE111" si="110">M106-AA106</f>
        <v>1682.52</v>
      </c>
      <c r="AF106" s="398" t="s">
        <v>253</v>
      </c>
      <c r="AG106" s="539"/>
      <c r="AH106" s="540"/>
      <c r="AI106" s="372"/>
    </row>
    <row r="107" spans="1:36" s="166" customFormat="1" ht="37.5" customHeight="1" x14ac:dyDescent="0.2">
      <c r="B107" s="468">
        <v>32</v>
      </c>
      <c r="C107" s="463" t="s">
        <v>237</v>
      </c>
      <c r="D107" s="180" t="s">
        <v>96</v>
      </c>
      <c r="E107" s="436">
        <v>108.93</v>
      </c>
      <c r="F107" s="330">
        <v>1783.98</v>
      </c>
      <c r="G107" s="436">
        <v>3</v>
      </c>
      <c r="H107" s="436">
        <f t="shared" ref="H107:H108" si="111">G107</f>
        <v>3</v>
      </c>
      <c r="I107" s="436">
        <v>0</v>
      </c>
      <c r="J107" s="436">
        <v>0</v>
      </c>
      <c r="K107" s="436"/>
      <c r="L107" s="436"/>
      <c r="M107" s="330">
        <f>F107+L107+Z107</f>
        <v>1783.98</v>
      </c>
      <c r="N107" s="330"/>
      <c r="O107" s="330">
        <f t="shared" ref="O107:O108" si="112">IF(E107=47.16,0,IF(E107&gt;47.16,J107*0.5,0))</f>
        <v>0</v>
      </c>
      <c r="P107" s="330">
        <f t="shared" ref="P107:P108" si="113">F107+G107+H107+K107+O107+I107</f>
        <v>1789.98</v>
      </c>
      <c r="Q107" s="330">
        <f t="shared" ref="Q107:Q108" si="114">VLOOKUP(P107,Tarifa1,1)</f>
        <v>1211.405</v>
      </c>
      <c r="R107" s="330">
        <f t="shared" ref="R107:R108" si="115">P107-Q107</f>
        <v>578.57500000000005</v>
      </c>
      <c r="S107" s="330">
        <f t="shared" ref="S107:S108" si="116">VLOOKUP(P107,Tarifa1,3)</f>
        <v>0.10879999999999999</v>
      </c>
      <c r="T107" s="330">
        <f t="shared" ref="T107:T108" si="117">R107*S107</f>
        <v>62.94896</v>
      </c>
      <c r="U107" s="330">
        <f t="shared" ref="U107:U108" si="118">VLOOKUP(P107,Tarifa1,2)</f>
        <v>71.099999999999994</v>
      </c>
      <c r="V107" s="330">
        <f t="shared" ref="V107:V108" si="119">T107+U107</f>
        <v>134.04895999999999</v>
      </c>
      <c r="W107" s="330">
        <f t="shared" ref="W107:W108" si="120">VLOOKUP(P107,Credito1,2)</f>
        <v>53.7</v>
      </c>
      <c r="X107" s="330">
        <f t="shared" ref="X107:X108" si="121">V107-W107</f>
        <v>80.348959999999991</v>
      </c>
      <c r="Y107" s="330"/>
      <c r="Z107" s="330"/>
      <c r="AA107" s="330">
        <v>101.46</v>
      </c>
      <c r="AB107" s="330"/>
      <c r="AC107" s="330"/>
      <c r="AD107" s="330">
        <f t="shared" si="109"/>
        <v>101.46</v>
      </c>
      <c r="AE107" s="330">
        <f t="shared" si="110"/>
        <v>1682.52</v>
      </c>
      <c r="AF107" s="398" t="s">
        <v>253</v>
      </c>
      <c r="AG107" s="539"/>
      <c r="AH107" s="540"/>
      <c r="AI107" s="372"/>
    </row>
    <row r="108" spans="1:36" s="166" customFormat="1" ht="35.25" customHeight="1" x14ac:dyDescent="0.2">
      <c r="B108" s="468">
        <v>33</v>
      </c>
      <c r="C108" s="341" t="s">
        <v>97</v>
      </c>
      <c r="D108" s="180" t="s">
        <v>98</v>
      </c>
      <c r="E108" s="436">
        <v>108.93</v>
      </c>
      <c r="F108" s="330">
        <v>1783.98</v>
      </c>
      <c r="G108" s="436">
        <v>0</v>
      </c>
      <c r="H108" s="436">
        <f t="shared" si="111"/>
        <v>0</v>
      </c>
      <c r="I108" s="436">
        <v>0</v>
      </c>
      <c r="J108" s="436">
        <v>0</v>
      </c>
      <c r="K108" s="436">
        <v>0</v>
      </c>
      <c r="L108" s="436"/>
      <c r="M108" s="330">
        <f>SUM(F108:L108)+Z108</f>
        <v>1783.98</v>
      </c>
      <c r="N108" s="330"/>
      <c r="O108" s="330">
        <f t="shared" si="112"/>
        <v>0</v>
      </c>
      <c r="P108" s="330">
        <f t="shared" si="113"/>
        <v>1783.98</v>
      </c>
      <c r="Q108" s="330">
        <f t="shared" si="114"/>
        <v>1211.405</v>
      </c>
      <c r="R108" s="330">
        <f t="shared" si="115"/>
        <v>572.57500000000005</v>
      </c>
      <c r="S108" s="330">
        <f t="shared" si="116"/>
        <v>0.10879999999999999</v>
      </c>
      <c r="T108" s="330">
        <f t="shared" si="117"/>
        <v>62.29616</v>
      </c>
      <c r="U108" s="330">
        <f t="shared" si="118"/>
        <v>71.099999999999994</v>
      </c>
      <c r="V108" s="330">
        <f t="shared" si="119"/>
        <v>133.39616000000001</v>
      </c>
      <c r="W108" s="330">
        <f t="shared" si="120"/>
        <v>53.7</v>
      </c>
      <c r="X108" s="330">
        <f t="shared" si="121"/>
        <v>79.696160000000006</v>
      </c>
      <c r="Y108" s="330"/>
      <c r="Z108" s="330"/>
      <c r="AA108" s="330">
        <v>101.46</v>
      </c>
      <c r="AB108" s="330"/>
      <c r="AC108" s="330"/>
      <c r="AD108" s="330">
        <f t="shared" si="109"/>
        <v>101.46</v>
      </c>
      <c r="AE108" s="330">
        <f t="shared" si="110"/>
        <v>1682.52</v>
      </c>
      <c r="AF108" s="398" t="s">
        <v>253</v>
      </c>
      <c r="AG108" s="539"/>
      <c r="AH108" s="540"/>
      <c r="AI108" s="372"/>
    </row>
    <row r="109" spans="1:36" s="166" customFormat="1" ht="37.5" customHeight="1" x14ac:dyDescent="0.2">
      <c r="B109" s="435">
        <v>34</v>
      </c>
      <c r="C109" s="341" t="s">
        <v>99</v>
      </c>
      <c r="D109" s="180" t="s">
        <v>100</v>
      </c>
      <c r="E109" s="436">
        <v>302.10000000000002</v>
      </c>
      <c r="F109" s="330">
        <v>4531.5</v>
      </c>
      <c r="G109" s="436">
        <v>7</v>
      </c>
      <c r="H109" s="436">
        <f t="shared" si="98"/>
        <v>7</v>
      </c>
      <c r="I109" s="436">
        <v>0</v>
      </c>
      <c r="J109" s="436">
        <v>0</v>
      </c>
      <c r="K109" s="436"/>
      <c r="L109" s="436"/>
      <c r="M109" s="330">
        <f>F109+L109+Z109</f>
        <v>4531.5</v>
      </c>
      <c r="N109" s="330"/>
      <c r="O109" s="330">
        <f t="shared" si="99"/>
        <v>0</v>
      </c>
      <c r="P109" s="330">
        <f t="shared" si="100"/>
        <v>4545.5</v>
      </c>
      <c r="Q109" s="330">
        <f t="shared" si="101"/>
        <v>2962.9549999999999</v>
      </c>
      <c r="R109" s="330">
        <f t="shared" si="102"/>
        <v>1582.5450000000001</v>
      </c>
      <c r="S109" s="330">
        <f t="shared" si="103"/>
        <v>0.21360000000000001</v>
      </c>
      <c r="T109" s="330">
        <f t="shared" si="104"/>
        <v>338.03161200000005</v>
      </c>
      <c r="U109" s="330">
        <f t="shared" si="105"/>
        <v>313.8</v>
      </c>
      <c r="V109" s="330">
        <f t="shared" si="106"/>
        <v>651.83161200000006</v>
      </c>
      <c r="W109" s="330">
        <f t="shared" si="107"/>
        <v>0</v>
      </c>
      <c r="X109" s="330">
        <f t="shared" si="108"/>
        <v>651.83161200000006</v>
      </c>
      <c r="Y109" s="330"/>
      <c r="Z109" s="330"/>
      <c r="AA109" s="330">
        <v>385.62</v>
      </c>
      <c r="AB109" s="330"/>
      <c r="AC109" s="330"/>
      <c r="AD109" s="330">
        <f t="shared" si="109"/>
        <v>385.62</v>
      </c>
      <c r="AE109" s="330">
        <f t="shared" si="110"/>
        <v>4145.88</v>
      </c>
      <c r="AF109" s="404" t="s">
        <v>254</v>
      </c>
      <c r="AG109" s="539"/>
      <c r="AH109" s="540"/>
      <c r="AI109" s="372"/>
    </row>
    <row r="110" spans="1:36" s="166" customFormat="1" ht="35.25" customHeight="1" x14ac:dyDescent="0.2">
      <c r="B110" s="468">
        <v>35</v>
      </c>
      <c r="C110" s="463" t="s">
        <v>101</v>
      </c>
      <c r="D110" s="225" t="s">
        <v>83</v>
      </c>
      <c r="E110" s="436">
        <v>161.19</v>
      </c>
      <c r="F110" s="330">
        <v>2417.86</v>
      </c>
      <c r="G110" s="436">
        <v>7</v>
      </c>
      <c r="H110" s="436">
        <f t="shared" ref="H110" si="122">G110</f>
        <v>7</v>
      </c>
      <c r="I110" s="436">
        <v>0</v>
      </c>
      <c r="J110" s="436">
        <v>0</v>
      </c>
      <c r="K110" s="436"/>
      <c r="L110" s="436"/>
      <c r="M110" s="330">
        <f>F110+L110+Z110</f>
        <v>2417.86</v>
      </c>
      <c r="N110" s="330"/>
      <c r="O110" s="330">
        <f t="shared" ref="O110" si="123">IF(E110=47.16,0,IF(E110&gt;47.16,J110*0.5,0))</f>
        <v>0</v>
      </c>
      <c r="P110" s="330">
        <f t="shared" ref="P110" si="124">F110+G110+H110+K110+O110+I110</f>
        <v>2431.86</v>
      </c>
      <c r="Q110" s="330">
        <f t="shared" ref="Q110" si="125">VLOOKUP(P110,Tarifa1,1)</f>
        <v>2128.9549999999999</v>
      </c>
      <c r="R110" s="330">
        <f t="shared" ref="R110" si="126">P110-Q110</f>
        <v>302.9050000000002</v>
      </c>
      <c r="S110" s="330">
        <f t="shared" ref="S110" si="127">VLOOKUP(P110,Tarifa1,3)</f>
        <v>0.16</v>
      </c>
      <c r="T110" s="330">
        <f t="shared" ref="T110" si="128">R110*S110</f>
        <v>48.464800000000032</v>
      </c>
      <c r="U110" s="330">
        <f t="shared" ref="U110" si="129">VLOOKUP(P110,Tarifa1,2)</f>
        <v>170.92500000000001</v>
      </c>
      <c r="V110" s="330">
        <f t="shared" ref="V110" si="130">T110+U110</f>
        <v>219.38980000000004</v>
      </c>
      <c r="W110" s="330">
        <f t="shared" ref="W110" si="131">VLOOKUP(P110,Credito1,2)</f>
        <v>0</v>
      </c>
      <c r="X110" s="330">
        <f t="shared" ref="X110" si="132">V110-W110</f>
        <v>219.38980000000004</v>
      </c>
      <c r="Y110" s="330"/>
      <c r="Z110" s="330"/>
      <c r="AA110" s="330">
        <v>142.02000000000001</v>
      </c>
      <c r="AB110" s="330"/>
      <c r="AC110" s="452"/>
      <c r="AD110" s="330">
        <f t="shared" si="109"/>
        <v>142.02000000000001</v>
      </c>
      <c r="AE110" s="330">
        <f t="shared" si="110"/>
        <v>2275.84</v>
      </c>
      <c r="AF110" s="398" t="s">
        <v>253</v>
      </c>
      <c r="AG110" s="539"/>
      <c r="AH110" s="540"/>
      <c r="AI110" s="372"/>
    </row>
    <row r="111" spans="1:36" s="166" customFormat="1" ht="36.75" customHeight="1" x14ac:dyDescent="0.2">
      <c r="B111" s="435">
        <v>36</v>
      </c>
      <c r="C111" s="341" t="s">
        <v>102</v>
      </c>
      <c r="D111" s="225" t="s">
        <v>83</v>
      </c>
      <c r="E111" s="436">
        <v>151.05000000000001</v>
      </c>
      <c r="F111" s="330">
        <v>2265.75</v>
      </c>
      <c r="G111" s="436">
        <v>9</v>
      </c>
      <c r="H111" s="436">
        <f t="shared" si="98"/>
        <v>9</v>
      </c>
      <c r="I111" s="436">
        <v>0</v>
      </c>
      <c r="J111" s="436">
        <v>0</v>
      </c>
      <c r="K111" s="436"/>
      <c r="L111" s="436"/>
      <c r="M111" s="330">
        <f>F111+L111+Z111</f>
        <v>2265.75</v>
      </c>
      <c r="N111" s="330">
        <f t="shared" ref="N111" si="133">G111+M111+AA111</f>
        <v>2407.04</v>
      </c>
      <c r="O111" s="330" t="e">
        <f>H111+N111+#REF!</f>
        <v>#REF!</v>
      </c>
      <c r="P111" s="330" t="e">
        <f>I111+O111+#REF!</f>
        <v>#REF!</v>
      </c>
      <c r="Q111" s="330" t="e">
        <f t="shared" ref="Q111:V111" si="134">J111+P111+AD111</f>
        <v>#REF!</v>
      </c>
      <c r="R111" s="330" t="e">
        <f t="shared" si="134"/>
        <v>#REF!</v>
      </c>
      <c r="S111" s="330" t="e">
        <f t="shared" si="134"/>
        <v>#REF!</v>
      </c>
      <c r="T111" s="330" t="e">
        <f t="shared" si="134"/>
        <v>#REF!</v>
      </c>
      <c r="U111" s="330" t="e">
        <f t="shared" si="134"/>
        <v>#REF!</v>
      </c>
      <c r="V111" s="330" t="e">
        <f t="shared" si="134"/>
        <v>#REF!</v>
      </c>
      <c r="W111" s="330" t="e">
        <f>P111+V111+AJ108</f>
        <v>#REF!</v>
      </c>
      <c r="X111" s="330" t="e">
        <f>Q111+W111+AK108</f>
        <v>#REF!</v>
      </c>
      <c r="Y111" s="330" t="e">
        <f>R111+X111+AL108</f>
        <v>#REF!</v>
      </c>
      <c r="Z111" s="330"/>
      <c r="AA111" s="330">
        <v>132.29</v>
      </c>
      <c r="AB111" s="330"/>
      <c r="AC111" s="330"/>
      <c r="AD111" s="330">
        <f t="shared" si="109"/>
        <v>132.29</v>
      </c>
      <c r="AE111" s="330">
        <f t="shared" si="110"/>
        <v>2133.46</v>
      </c>
      <c r="AF111" s="404" t="s">
        <v>254</v>
      </c>
      <c r="AG111" s="539"/>
      <c r="AH111" s="540"/>
      <c r="AI111" s="372"/>
    </row>
    <row r="112" spans="1:36" s="348" customFormat="1" ht="28.15" customHeight="1" thickBot="1" x14ac:dyDescent="0.25">
      <c r="A112" s="351"/>
      <c r="B112" s="373"/>
      <c r="C112" s="443" t="s">
        <v>60</v>
      </c>
      <c r="D112" s="443"/>
      <c r="E112" s="444"/>
      <c r="F112" s="445">
        <f>F105+F106+F107+F108+F109+F110+F111</f>
        <v>16351.03</v>
      </c>
      <c r="G112" s="444">
        <f t="shared" ref="G112:AE112" si="135">G105+G106+G107+G108+G109+G110+G111</f>
        <v>29</v>
      </c>
      <c r="H112" s="444">
        <f t="shared" si="135"/>
        <v>29</v>
      </c>
      <c r="I112" s="444">
        <f t="shared" si="135"/>
        <v>0</v>
      </c>
      <c r="J112" s="444">
        <f t="shared" si="135"/>
        <v>0</v>
      </c>
      <c r="K112" s="444">
        <f t="shared" si="135"/>
        <v>0</v>
      </c>
      <c r="L112" s="444">
        <f t="shared" si="135"/>
        <v>0</v>
      </c>
      <c r="M112" s="445">
        <f t="shared" si="135"/>
        <v>16351.03</v>
      </c>
      <c r="N112" s="444">
        <f t="shared" si="135"/>
        <v>2407.04</v>
      </c>
      <c r="O112" s="444" t="e">
        <f t="shared" si="135"/>
        <v>#REF!</v>
      </c>
      <c r="P112" s="444" t="e">
        <f t="shared" si="135"/>
        <v>#REF!</v>
      </c>
      <c r="Q112" s="444" t="e">
        <f t="shared" si="135"/>
        <v>#REF!</v>
      </c>
      <c r="R112" s="444" t="e">
        <f t="shared" si="135"/>
        <v>#REF!</v>
      </c>
      <c r="S112" s="444" t="e">
        <f t="shared" si="135"/>
        <v>#REF!</v>
      </c>
      <c r="T112" s="444" t="e">
        <f t="shared" si="135"/>
        <v>#REF!</v>
      </c>
      <c r="U112" s="444" t="e">
        <f t="shared" si="135"/>
        <v>#REF!</v>
      </c>
      <c r="V112" s="444" t="e">
        <f t="shared" si="135"/>
        <v>#REF!</v>
      </c>
      <c r="W112" s="444" t="e">
        <f t="shared" si="135"/>
        <v>#REF!</v>
      </c>
      <c r="X112" s="444" t="e">
        <f t="shared" si="135"/>
        <v>#REF!</v>
      </c>
      <c r="Y112" s="444" t="e">
        <f t="shared" si="135"/>
        <v>#REF!</v>
      </c>
      <c r="Z112" s="444">
        <f t="shared" si="135"/>
        <v>0</v>
      </c>
      <c r="AA112" s="445">
        <f t="shared" si="135"/>
        <v>1065.77</v>
      </c>
      <c r="AB112" s="444">
        <f t="shared" si="135"/>
        <v>0</v>
      </c>
      <c r="AC112" s="444">
        <f t="shared" si="135"/>
        <v>0</v>
      </c>
      <c r="AD112" s="445">
        <f t="shared" si="135"/>
        <v>1065.77</v>
      </c>
      <c r="AE112" s="450">
        <f t="shared" si="135"/>
        <v>15285.259999999998</v>
      </c>
      <c r="AF112" s="447"/>
      <c r="AG112" s="374"/>
      <c r="AH112" s="374"/>
      <c r="AI112" s="380"/>
      <c r="AJ112" s="351"/>
    </row>
    <row r="113" spans="32:35" s="166" customFormat="1" ht="7.9" customHeight="1" x14ac:dyDescent="0.2">
      <c r="AF113" s="157"/>
      <c r="AI113" s="178"/>
    </row>
    <row r="114" spans="32:35" s="166" customFormat="1" ht="34.15" hidden="1" customHeight="1" x14ac:dyDescent="0.2">
      <c r="AF114" s="157"/>
      <c r="AI114" s="178"/>
    </row>
    <row r="115" spans="32:35" s="166" customFormat="1" ht="31.15" hidden="1" customHeight="1" x14ac:dyDescent="0.2">
      <c r="AF115" s="157"/>
      <c r="AI115" s="178"/>
    </row>
    <row r="116" spans="32:35" s="166" customFormat="1" ht="10.9" hidden="1" customHeight="1" x14ac:dyDescent="0.2">
      <c r="AF116" s="157"/>
      <c r="AI116" s="178"/>
    </row>
    <row r="117" spans="32:35" s="166" customFormat="1" ht="31.15" hidden="1" customHeight="1" x14ac:dyDescent="0.2">
      <c r="AF117" s="157"/>
      <c r="AI117" s="178"/>
    </row>
    <row r="118" spans="32:35" s="166" customFormat="1" ht="38.450000000000003" hidden="1" customHeight="1" x14ac:dyDescent="0.2">
      <c r="AF118" s="157"/>
      <c r="AI118" s="178"/>
    </row>
    <row r="119" spans="32:35" s="166" customFormat="1" ht="36" hidden="1" customHeight="1" x14ac:dyDescent="0.2">
      <c r="AF119" s="157"/>
      <c r="AI119" s="178"/>
    </row>
    <row r="120" spans="32:35" s="166" customFormat="1" ht="36.6" hidden="1" customHeight="1" x14ac:dyDescent="0.2">
      <c r="AF120" s="157"/>
      <c r="AI120" s="178"/>
    </row>
    <row r="121" spans="32:35" s="166" customFormat="1" ht="36.6" customHeight="1" x14ac:dyDescent="0.2">
      <c r="AF121" s="157"/>
      <c r="AI121" s="178"/>
    </row>
    <row r="122" spans="32:35" s="166" customFormat="1" ht="36.6" customHeight="1" x14ac:dyDescent="0.2">
      <c r="AF122" s="157"/>
      <c r="AI122" s="178"/>
    </row>
    <row r="123" spans="32:35" s="166" customFormat="1" ht="36.6" customHeight="1" x14ac:dyDescent="0.2">
      <c r="AF123" s="157"/>
      <c r="AI123" s="178"/>
    </row>
    <row r="124" spans="32:35" s="166" customFormat="1" ht="36.6" customHeight="1" x14ac:dyDescent="0.2">
      <c r="AF124" s="157"/>
      <c r="AI124" s="178"/>
    </row>
    <row r="125" spans="32:35" s="166" customFormat="1" ht="36.6" customHeight="1" x14ac:dyDescent="0.2">
      <c r="AF125" s="157"/>
      <c r="AI125" s="178"/>
    </row>
    <row r="126" spans="32:35" s="166" customFormat="1" ht="36.6" customHeight="1" x14ac:dyDescent="0.2">
      <c r="AF126" s="157"/>
      <c r="AI126" s="178"/>
    </row>
    <row r="127" spans="32:35" s="166" customFormat="1" ht="36.6" customHeight="1" x14ac:dyDescent="0.2">
      <c r="AF127" s="157"/>
      <c r="AI127" s="178"/>
    </row>
    <row r="128" spans="32:35" s="166" customFormat="1" ht="36.6" customHeight="1" x14ac:dyDescent="0.2">
      <c r="AF128" s="157"/>
      <c r="AI128" s="178"/>
    </row>
    <row r="129" spans="1:36" s="166" customFormat="1" ht="36.6" customHeight="1" x14ac:dyDescent="0.2">
      <c r="AF129" s="157"/>
      <c r="AI129" s="178"/>
    </row>
    <row r="130" spans="1:36" s="166" customFormat="1" ht="36.6" customHeight="1" x14ac:dyDescent="0.2">
      <c r="AF130" s="157"/>
      <c r="AI130" s="178"/>
    </row>
    <row r="131" spans="1:36" s="166" customFormat="1" ht="36.6" customHeight="1" x14ac:dyDescent="0.2">
      <c r="AF131" s="157"/>
      <c r="AI131" s="178"/>
    </row>
    <row r="132" spans="1:36" s="166" customFormat="1" ht="36.6" customHeight="1" x14ac:dyDescent="0.2">
      <c r="AF132" s="157"/>
      <c r="AI132" s="178"/>
    </row>
    <row r="133" spans="1:36" s="166" customFormat="1" ht="36.6" customHeight="1" x14ac:dyDescent="0.2">
      <c r="AF133" s="157"/>
      <c r="AI133" s="178"/>
    </row>
    <row r="134" spans="1:36" s="166" customFormat="1" ht="27.6" customHeight="1" x14ac:dyDescent="0.2">
      <c r="AF134" s="157"/>
      <c r="AI134" s="178"/>
    </row>
    <row r="135" spans="1:36" s="166" customFormat="1" ht="40.15" hidden="1" customHeight="1" x14ac:dyDescent="0.2">
      <c r="AF135" s="157"/>
      <c r="AI135" s="178"/>
    </row>
    <row r="136" spans="1:36" s="166" customFormat="1" ht="40.15" hidden="1" customHeight="1" x14ac:dyDescent="0.2">
      <c r="AF136" s="157"/>
      <c r="AI136" s="178"/>
    </row>
    <row r="137" spans="1:36" s="166" customFormat="1" ht="33" customHeight="1" x14ac:dyDescent="0.2">
      <c r="B137" s="435"/>
      <c r="C137" s="438" t="s">
        <v>114</v>
      </c>
      <c r="D137" s="225"/>
      <c r="E137" s="436"/>
      <c r="F137" s="330"/>
      <c r="G137" s="436">
        <v>0</v>
      </c>
      <c r="H137" s="436">
        <f t="shared" ref="H137:H155" si="136">G137</f>
        <v>0</v>
      </c>
      <c r="I137" s="436">
        <v>0</v>
      </c>
      <c r="J137" s="436">
        <v>0</v>
      </c>
      <c r="K137" s="436"/>
      <c r="L137" s="436"/>
      <c r="M137" s="330"/>
      <c r="N137" s="330"/>
      <c r="O137" s="330">
        <f t="shared" ref="O137:O150" si="137">IF(E137=47.16,0,IF(E137&gt;47.16,J137*0.5,0))</f>
        <v>0</v>
      </c>
      <c r="P137" s="330">
        <f t="shared" ref="P137:P147" si="138">F137+G137+H137+K137+O137+I137</f>
        <v>0</v>
      </c>
      <c r="Q137" s="330" t="e">
        <f t="shared" ref="Q137:Q150" si="139">VLOOKUP(P137,Tarifa1,1)</f>
        <v>#N/A</v>
      </c>
      <c r="R137" s="330" t="e">
        <f t="shared" ref="R137:R150" si="140">P137-Q137</f>
        <v>#N/A</v>
      </c>
      <c r="S137" s="330" t="e">
        <f t="shared" ref="S137:S150" si="141">VLOOKUP(P137,Tarifa1,3)</f>
        <v>#N/A</v>
      </c>
      <c r="T137" s="330" t="e">
        <f t="shared" ref="T137:T150" si="142">R137*S137</f>
        <v>#N/A</v>
      </c>
      <c r="U137" s="330" t="e">
        <f t="shared" ref="U137:U150" si="143">VLOOKUP(P137,Tarifa1,2)</f>
        <v>#N/A</v>
      </c>
      <c r="V137" s="330" t="e">
        <f t="shared" ref="V137:V150" si="144">T137+U137</f>
        <v>#N/A</v>
      </c>
      <c r="W137" s="330" t="e">
        <f t="shared" ref="W137:W150" si="145">VLOOKUP(P137,Credito1,2)</f>
        <v>#N/A</v>
      </c>
      <c r="X137" s="330" t="e">
        <f t="shared" ref="X137:X150" si="146">V137-W137</f>
        <v>#N/A</v>
      </c>
      <c r="Y137" s="330"/>
      <c r="Z137" s="330"/>
      <c r="AA137" s="330"/>
      <c r="AB137" s="330"/>
      <c r="AC137" s="330"/>
      <c r="AD137" s="330"/>
      <c r="AE137" s="330"/>
      <c r="AF137" s="346"/>
      <c r="AG137" s="539"/>
      <c r="AH137" s="540"/>
      <c r="AI137" s="178"/>
    </row>
    <row r="138" spans="1:36" s="166" customFormat="1" ht="27" customHeight="1" x14ac:dyDescent="0.2">
      <c r="B138" s="435">
        <v>37</v>
      </c>
      <c r="C138" s="341" t="s">
        <v>214</v>
      </c>
      <c r="D138" s="180" t="s">
        <v>115</v>
      </c>
      <c r="E138" s="436">
        <v>481.88</v>
      </c>
      <c r="F138" s="330">
        <v>7228.14</v>
      </c>
      <c r="G138" s="436">
        <v>9</v>
      </c>
      <c r="H138" s="436">
        <f t="shared" ref="H138" si="147">G138</f>
        <v>9</v>
      </c>
      <c r="I138" s="436">
        <v>0</v>
      </c>
      <c r="J138" s="436">
        <v>0</v>
      </c>
      <c r="K138" s="436"/>
      <c r="L138" s="436"/>
      <c r="M138" s="330">
        <f>F138+L138+Z138</f>
        <v>7228.14</v>
      </c>
      <c r="N138" s="330"/>
      <c r="O138" s="330">
        <f t="shared" ref="O138" si="148">IF(E138=47.16,0,IF(E138&gt;47.16,J138*0.5,0))</f>
        <v>0</v>
      </c>
      <c r="P138" s="330">
        <f t="shared" ref="P138" si="149">F138+G138+H138+K138+O138+I138</f>
        <v>7246.14</v>
      </c>
      <c r="Q138" s="330">
        <f t="shared" ref="Q138" si="150">VLOOKUP(P138,Tarifa1,1)</f>
        <v>5975.93</v>
      </c>
      <c r="R138" s="330">
        <f t="shared" ref="R138" si="151">P138-Q138</f>
        <v>1270.21</v>
      </c>
      <c r="S138" s="330">
        <f t="shared" ref="S138" si="152">VLOOKUP(P138,Tarifa1,3)</f>
        <v>0.23519999999999999</v>
      </c>
      <c r="T138" s="330">
        <f t="shared" ref="T138" si="153">R138*S138</f>
        <v>298.75339200000002</v>
      </c>
      <c r="U138" s="330">
        <f t="shared" ref="U138" si="154">VLOOKUP(P138,Tarifa1,2)</f>
        <v>957.375</v>
      </c>
      <c r="V138" s="330">
        <f t="shared" ref="V138" si="155">T138+U138</f>
        <v>1256.1283920000001</v>
      </c>
      <c r="W138" s="330">
        <f t="shared" ref="W138" si="156">VLOOKUP(P138,Credito1,2)</f>
        <v>0</v>
      </c>
      <c r="X138" s="330">
        <f t="shared" ref="X138" si="157">V138-W138</f>
        <v>1256.1283920000001</v>
      </c>
      <c r="Y138" s="330"/>
      <c r="Z138" s="330"/>
      <c r="AA138" s="330">
        <v>905.76</v>
      </c>
      <c r="AB138" s="330"/>
      <c r="AC138" s="330"/>
      <c r="AD138" s="330">
        <f t="shared" si="109"/>
        <v>905.76</v>
      </c>
      <c r="AE138" s="330">
        <f t="shared" ref="AE138:AE143" si="158">M138-AA138</f>
        <v>6322.38</v>
      </c>
      <c r="AF138" s="404" t="s">
        <v>254</v>
      </c>
      <c r="AG138" s="539"/>
      <c r="AH138" s="540"/>
      <c r="AI138" s="178"/>
    </row>
    <row r="139" spans="1:36" s="166" customFormat="1" ht="38.450000000000003" customHeight="1" x14ac:dyDescent="0.2">
      <c r="B139" s="435"/>
      <c r="C139" s="433" t="s">
        <v>116</v>
      </c>
      <c r="D139" s="225"/>
      <c r="E139" s="436"/>
      <c r="F139" s="330"/>
      <c r="G139" s="436">
        <v>0</v>
      </c>
      <c r="H139" s="436">
        <f t="shared" si="136"/>
        <v>0</v>
      </c>
      <c r="I139" s="436">
        <v>0</v>
      </c>
      <c r="J139" s="436">
        <v>0</v>
      </c>
      <c r="K139" s="436"/>
      <c r="L139" s="436"/>
      <c r="M139" s="330"/>
      <c r="N139" s="330"/>
      <c r="O139" s="330">
        <f t="shared" si="137"/>
        <v>0</v>
      </c>
      <c r="P139" s="330">
        <f t="shared" si="138"/>
        <v>0</v>
      </c>
      <c r="Q139" s="330" t="e">
        <f t="shared" si="139"/>
        <v>#N/A</v>
      </c>
      <c r="R139" s="330" t="e">
        <f t="shared" si="140"/>
        <v>#N/A</v>
      </c>
      <c r="S139" s="330" t="e">
        <f t="shared" si="141"/>
        <v>#N/A</v>
      </c>
      <c r="T139" s="330" t="e">
        <f t="shared" si="142"/>
        <v>#N/A</v>
      </c>
      <c r="U139" s="330" t="e">
        <f t="shared" si="143"/>
        <v>#N/A</v>
      </c>
      <c r="V139" s="330" t="e">
        <f t="shared" si="144"/>
        <v>#N/A</v>
      </c>
      <c r="W139" s="330" t="e">
        <f t="shared" si="145"/>
        <v>#N/A</v>
      </c>
      <c r="X139" s="330" t="e">
        <f t="shared" si="146"/>
        <v>#N/A</v>
      </c>
      <c r="Y139" s="330"/>
      <c r="Z139" s="330"/>
      <c r="AA139" s="330"/>
      <c r="AB139" s="330"/>
      <c r="AC139" s="330"/>
      <c r="AD139" s="330"/>
      <c r="AE139" s="330"/>
      <c r="AF139" s="346"/>
      <c r="AG139" s="539"/>
      <c r="AH139" s="540"/>
      <c r="AI139" s="178"/>
    </row>
    <row r="140" spans="1:36" s="166" customFormat="1" ht="29.25" customHeight="1" x14ac:dyDescent="0.2">
      <c r="B140" s="435">
        <v>38</v>
      </c>
      <c r="C140" s="341" t="s">
        <v>117</v>
      </c>
      <c r="D140" s="230" t="s">
        <v>242</v>
      </c>
      <c r="E140" s="436">
        <v>283.44</v>
      </c>
      <c r="F140" s="330">
        <v>4251.66</v>
      </c>
      <c r="G140" s="436">
        <v>0</v>
      </c>
      <c r="H140" s="436">
        <f t="shared" si="136"/>
        <v>0</v>
      </c>
      <c r="I140" s="436">
        <v>0</v>
      </c>
      <c r="J140" s="436">
        <v>0</v>
      </c>
      <c r="K140" s="436"/>
      <c r="L140" s="436"/>
      <c r="M140" s="330">
        <f>F140+L140+Z140</f>
        <v>4251.66</v>
      </c>
      <c r="N140" s="330"/>
      <c r="O140" s="330">
        <f t="shared" si="137"/>
        <v>0</v>
      </c>
      <c r="P140" s="330">
        <f t="shared" si="138"/>
        <v>4251.66</v>
      </c>
      <c r="Q140" s="330">
        <f t="shared" si="139"/>
        <v>2962.9549999999999</v>
      </c>
      <c r="R140" s="330">
        <f t="shared" si="140"/>
        <v>1288.7049999999999</v>
      </c>
      <c r="S140" s="330">
        <f t="shared" si="141"/>
        <v>0.21360000000000001</v>
      </c>
      <c r="T140" s="330">
        <f t="shared" si="142"/>
        <v>275.26738799999998</v>
      </c>
      <c r="U140" s="330">
        <f t="shared" si="143"/>
        <v>313.8</v>
      </c>
      <c r="V140" s="330">
        <f t="shared" si="144"/>
        <v>589.06738799999994</v>
      </c>
      <c r="W140" s="330">
        <f t="shared" si="145"/>
        <v>0</v>
      </c>
      <c r="X140" s="330">
        <f t="shared" si="146"/>
        <v>589.06738799999994</v>
      </c>
      <c r="Y140" s="330"/>
      <c r="Z140" s="330"/>
      <c r="AA140" s="330">
        <v>341.18</v>
      </c>
      <c r="AB140" s="330"/>
      <c r="AC140" s="330"/>
      <c r="AD140" s="330">
        <f t="shared" si="109"/>
        <v>341.18</v>
      </c>
      <c r="AE140" s="330">
        <f t="shared" si="158"/>
        <v>3910.48</v>
      </c>
      <c r="AF140" s="404" t="s">
        <v>252</v>
      </c>
      <c r="AG140" s="539"/>
      <c r="AH140" s="540"/>
      <c r="AI140" s="178"/>
    </row>
    <row r="141" spans="1:36" s="166" customFormat="1" ht="30.75" customHeight="1" x14ac:dyDescent="0.2">
      <c r="B141" s="435">
        <v>39</v>
      </c>
      <c r="C141" s="341" t="s">
        <v>119</v>
      </c>
      <c r="D141" s="230" t="s">
        <v>120</v>
      </c>
      <c r="E141" s="436">
        <v>199.83</v>
      </c>
      <c r="F141" s="330">
        <v>2997.5</v>
      </c>
      <c r="G141" s="436">
        <v>0</v>
      </c>
      <c r="H141" s="436">
        <f t="shared" ref="H141" si="159">G141</f>
        <v>0</v>
      </c>
      <c r="I141" s="436">
        <v>0</v>
      </c>
      <c r="J141" s="436">
        <v>0</v>
      </c>
      <c r="K141" s="436"/>
      <c r="L141" s="436"/>
      <c r="M141" s="330">
        <f t="shared" ref="M141:M142" si="160">F141+L141+Z141</f>
        <v>2997.5</v>
      </c>
      <c r="N141" s="330"/>
      <c r="O141" s="330">
        <f t="shared" ref="O141:O142" si="161">IF(E141=47.16,0,IF(E141&gt;47.16,J141*0.5,0))</f>
        <v>0</v>
      </c>
      <c r="P141" s="330">
        <f t="shared" ref="P141:P142" si="162">F141+G141+H141+K141+O141+I141</f>
        <v>2997.5</v>
      </c>
      <c r="Q141" s="330">
        <f t="shared" ref="Q141:Q142" si="163">VLOOKUP(P141,Tarifa1,1)</f>
        <v>2962.9549999999999</v>
      </c>
      <c r="R141" s="330">
        <f t="shared" ref="R141:R142" si="164">P141-Q141</f>
        <v>34.545000000000073</v>
      </c>
      <c r="S141" s="330">
        <f t="shared" ref="S141:S142" si="165">VLOOKUP(P141,Tarifa1,3)</f>
        <v>0.21360000000000001</v>
      </c>
      <c r="T141" s="330">
        <f t="shared" ref="T141:T142" si="166">R141*S141</f>
        <v>7.3788120000000159</v>
      </c>
      <c r="U141" s="330">
        <f t="shared" ref="U141:U142" si="167">VLOOKUP(P141,Tarifa1,2)</f>
        <v>313.8</v>
      </c>
      <c r="V141" s="330">
        <f t="shared" ref="V141:V142" si="168">T141+U141</f>
        <v>321.17881200000005</v>
      </c>
      <c r="W141" s="330">
        <f t="shared" ref="W141:W142" si="169">VLOOKUP(P141,Credito1,2)</f>
        <v>0</v>
      </c>
      <c r="X141" s="330">
        <f t="shared" ref="X141:X142" si="170">V141-W141</f>
        <v>321.17881200000005</v>
      </c>
      <c r="Y141" s="330"/>
      <c r="Z141" s="330"/>
      <c r="AA141" s="330">
        <v>204.73</v>
      </c>
      <c r="AB141" s="330"/>
      <c r="AC141" s="330"/>
      <c r="AD141" s="330">
        <f t="shared" si="109"/>
        <v>204.73</v>
      </c>
      <c r="AE141" s="330">
        <f t="shared" si="158"/>
        <v>2792.77</v>
      </c>
      <c r="AF141" s="404" t="s">
        <v>252</v>
      </c>
      <c r="AG141" s="539"/>
      <c r="AH141" s="540"/>
      <c r="AI141" s="178"/>
    </row>
    <row r="142" spans="1:36" s="166" customFormat="1" ht="30.75" customHeight="1" x14ac:dyDescent="0.2">
      <c r="B142" s="435">
        <v>40</v>
      </c>
      <c r="C142" s="341" t="s">
        <v>218</v>
      </c>
      <c r="D142" s="230" t="s">
        <v>219</v>
      </c>
      <c r="E142" s="436">
        <v>393.12</v>
      </c>
      <c r="F142" s="330">
        <v>5896.78</v>
      </c>
      <c r="G142" s="436"/>
      <c r="H142" s="436"/>
      <c r="I142" s="436"/>
      <c r="J142" s="436"/>
      <c r="K142" s="436"/>
      <c r="L142" s="80"/>
      <c r="M142" s="330">
        <f t="shared" si="160"/>
        <v>5896.78</v>
      </c>
      <c r="N142" s="330"/>
      <c r="O142" s="330">
        <f t="shared" si="161"/>
        <v>0</v>
      </c>
      <c r="P142" s="330">
        <f t="shared" si="162"/>
        <v>5896.78</v>
      </c>
      <c r="Q142" s="330">
        <f t="shared" si="163"/>
        <v>2962.9549999999999</v>
      </c>
      <c r="R142" s="330">
        <f t="shared" si="164"/>
        <v>2933.8249999999998</v>
      </c>
      <c r="S142" s="330">
        <f t="shared" si="165"/>
        <v>0.21360000000000001</v>
      </c>
      <c r="T142" s="330">
        <f t="shared" si="166"/>
        <v>626.66502000000003</v>
      </c>
      <c r="U142" s="330">
        <f t="shared" si="167"/>
        <v>313.8</v>
      </c>
      <c r="V142" s="330">
        <f t="shared" si="168"/>
        <v>940.4650200000001</v>
      </c>
      <c r="W142" s="330">
        <f t="shared" si="169"/>
        <v>0</v>
      </c>
      <c r="X142" s="330">
        <f t="shared" si="170"/>
        <v>940.4650200000001</v>
      </c>
      <c r="Y142" s="330"/>
      <c r="Z142" s="330"/>
      <c r="AA142" s="330">
        <v>622.29</v>
      </c>
      <c r="AB142" s="330"/>
      <c r="AC142" s="330"/>
      <c r="AD142" s="330">
        <f t="shared" si="109"/>
        <v>622.29</v>
      </c>
      <c r="AE142" s="330">
        <f t="shared" si="158"/>
        <v>5274.49</v>
      </c>
      <c r="AF142" s="404" t="s">
        <v>252</v>
      </c>
      <c r="AG142" s="539"/>
      <c r="AH142" s="540"/>
      <c r="AI142" s="178"/>
    </row>
    <row r="143" spans="1:36" s="166" customFormat="1" ht="43.5" customHeight="1" x14ac:dyDescent="0.2">
      <c r="B143" s="435">
        <v>41</v>
      </c>
      <c r="C143" s="341" t="s">
        <v>118</v>
      </c>
      <c r="D143" s="230" t="s">
        <v>188</v>
      </c>
      <c r="E143" s="436">
        <v>362.24</v>
      </c>
      <c r="F143" s="330">
        <v>5433.67</v>
      </c>
      <c r="G143" s="436">
        <v>0</v>
      </c>
      <c r="H143" s="436">
        <f t="shared" ref="H143" si="171">G143</f>
        <v>0</v>
      </c>
      <c r="I143" s="436">
        <v>0</v>
      </c>
      <c r="J143" s="436">
        <v>0</v>
      </c>
      <c r="K143" s="436"/>
      <c r="L143" s="436"/>
      <c r="M143" s="330">
        <f t="shared" ref="M143" si="172">F143+L143+Z143</f>
        <v>5433.67</v>
      </c>
      <c r="N143" s="330"/>
      <c r="O143" s="330">
        <f t="shared" ref="O143" si="173">IF(E143=47.16,0,IF(E143&gt;47.16,J143*0.5,0))</f>
        <v>0</v>
      </c>
      <c r="P143" s="330">
        <f t="shared" ref="P143" si="174">F143+G143+H143+K143+O143+I143</f>
        <v>5433.67</v>
      </c>
      <c r="Q143" s="330">
        <f t="shared" ref="Q143" si="175">VLOOKUP(P143,Tarifa1,1)</f>
        <v>2962.9549999999999</v>
      </c>
      <c r="R143" s="330">
        <f t="shared" ref="R143" si="176">P143-Q143</f>
        <v>2470.7150000000001</v>
      </c>
      <c r="S143" s="330">
        <f t="shared" ref="S143" si="177">VLOOKUP(P143,Tarifa1,3)</f>
        <v>0.21360000000000001</v>
      </c>
      <c r="T143" s="330">
        <f t="shared" ref="T143" si="178">R143*S143</f>
        <v>527.74472400000002</v>
      </c>
      <c r="U143" s="330">
        <f t="shared" ref="U143" si="179">VLOOKUP(P143,Tarifa1,2)</f>
        <v>313.8</v>
      </c>
      <c r="V143" s="330">
        <f t="shared" ref="V143" si="180">T143+U143</f>
        <v>841.54472400000009</v>
      </c>
      <c r="W143" s="330">
        <f t="shared" ref="W143" si="181">VLOOKUP(P143,Credito1,2)</f>
        <v>0</v>
      </c>
      <c r="X143" s="330">
        <f t="shared" ref="X143" si="182">V143-W143</f>
        <v>841.54472400000009</v>
      </c>
      <c r="Y143" s="330"/>
      <c r="Z143" s="330"/>
      <c r="AA143" s="330">
        <v>539.29999999999995</v>
      </c>
      <c r="AB143" s="330"/>
      <c r="AC143" s="330"/>
      <c r="AD143" s="330">
        <f t="shared" si="109"/>
        <v>539.29999999999995</v>
      </c>
      <c r="AE143" s="330">
        <f t="shared" si="158"/>
        <v>4894.37</v>
      </c>
      <c r="AF143" s="404" t="s">
        <v>252</v>
      </c>
      <c r="AG143" s="539"/>
      <c r="AH143" s="540"/>
      <c r="AI143" s="178"/>
    </row>
    <row r="144" spans="1:36" s="348" customFormat="1" ht="30" customHeight="1" x14ac:dyDescent="0.2">
      <c r="A144" s="351"/>
      <c r="B144" s="453"/>
      <c r="C144" s="430" t="s">
        <v>60</v>
      </c>
      <c r="D144" s="430"/>
      <c r="E144" s="454"/>
      <c r="F144" s="431">
        <f>F138+F140+F141+F142+F143</f>
        <v>25807.75</v>
      </c>
      <c r="G144" s="454">
        <f t="shared" ref="G144:AE144" si="183">G138+G140+G141+G142+G143</f>
        <v>9</v>
      </c>
      <c r="H144" s="454">
        <f t="shared" si="183"/>
        <v>9</v>
      </c>
      <c r="I144" s="454">
        <f t="shared" si="183"/>
        <v>0</v>
      </c>
      <c r="J144" s="454">
        <f t="shared" si="183"/>
        <v>0</v>
      </c>
      <c r="K144" s="454">
        <f t="shared" si="183"/>
        <v>0</v>
      </c>
      <c r="L144" s="454">
        <f t="shared" si="183"/>
        <v>0</v>
      </c>
      <c r="M144" s="431">
        <f t="shared" si="183"/>
        <v>25807.75</v>
      </c>
      <c r="N144" s="454">
        <f t="shared" si="183"/>
        <v>0</v>
      </c>
      <c r="O144" s="454">
        <f t="shared" si="183"/>
        <v>0</v>
      </c>
      <c r="P144" s="454">
        <f t="shared" si="183"/>
        <v>25825.75</v>
      </c>
      <c r="Q144" s="454">
        <f t="shared" si="183"/>
        <v>17827.75</v>
      </c>
      <c r="R144" s="454">
        <f t="shared" si="183"/>
        <v>7998</v>
      </c>
      <c r="S144" s="454">
        <f t="shared" si="183"/>
        <v>1.0895999999999999</v>
      </c>
      <c r="T144" s="454">
        <f t="shared" si="183"/>
        <v>1735.8093360000003</v>
      </c>
      <c r="U144" s="454">
        <f t="shared" si="183"/>
        <v>2212.5749999999998</v>
      </c>
      <c r="V144" s="454">
        <f t="shared" si="183"/>
        <v>3948.3843360000001</v>
      </c>
      <c r="W144" s="454">
        <f t="shared" si="183"/>
        <v>0</v>
      </c>
      <c r="X144" s="454">
        <f t="shared" si="183"/>
        <v>3948.3843360000001</v>
      </c>
      <c r="Y144" s="454">
        <f t="shared" si="183"/>
        <v>0</v>
      </c>
      <c r="Z144" s="454">
        <f t="shared" si="183"/>
        <v>0</v>
      </c>
      <c r="AA144" s="431">
        <f t="shared" si="183"/>
        <v>2613.2600000000002</v>
      </c>
      <c r="AB144" s="454">
        <f t="shared" si="183"/>
        <v>0</v>
      </c>
      <c r="AC144" s="454">
        <f t="shared" si="183"/>
        <v>0</v>
      </c>
      <c r="AD144" s="431">
        <f t="shared" si="183"/>
        <v>2613.2600000000002</v>
      </c>
      <c r="AE144" s="431">
        <f t="shared" si="183"/>
        <v>23194.49</v>
      </c>
      <c r="AF144" s="538"/>
      <c r="AG144" s="538"/>
      <c r="AH144" s="538"/>
      <c r="AI144" s="349"/>
      <c r="AJ144" s="351"/>
    </row>
    <row r="145" spans="2:35" s="166" customFormat="1" ht="28.15" hidden="1" customHeight="1" x14ac:dyDescent="0.2">
      <c r="B145" s="435"/>
      <c r="C145" s="225"/>
      <c r="D145" s="180"/>
      <c r="E145" s="436"/>
      <c r="F145" s="330"/>
      <c r="G145" s="436"/>
      <c r="H145" s="436"/>
      <c r="I145" s="436"/>
      <c r="J145" s="436"/>
      <c r="K145" s="436"/>
      <c r="L145" s="436"/>
      <c r="M145" s="330"/>
      <c r="N145" s="330"/>
      <c r="O145" s="330"/>
      <c r="P145" s="330"/>
      <c r="Q145" s="330"/>
      <c r="R145" s="330"/>
      <c r="S145" s="330"/>
      <c r="T145" s="330"/>
      <c r="U145" s="330"/>
      <c r="V145" s="330"/>
      <c r="W145" s="330"/>
      <c r="X145" s="330"/>
      <c r="Y145" s="330"/>
      <c r="Z145" s="330"/>
      <c r="AA145" s="330"/>
      <c r="AB145" s="330"/>
      <c r="AC145" s="330"/>
      <c r="AD145" s="330"/>
      <c r="AE145" s="330"/>
      <c r="AF145" s="346"/>
      <c r="AG145" s="439"/>
      <c r="AH145" s="439"/>
      <c r="AI145" s="178"/>
    </row>
    <row r="146" spans="2:35" s="166" customFormat="1" ht="55.9" hidden="1" customHeight="1" x14ac:dyDescent="0.2">
      <c r="B146" s="435"/>
      <c r="C146" s="225"/>
      <c r="D146" s="180"/>
      <c r="E146" s="436"/>
      <c r="F146" s="330"/>
      <c r="G146" s="436"/>
      <c r="H146" s="436"/>
      <c r="I146" s="436"/>
      <c r="J146" s="436"/>
      <c r="K146" s="436"/>
      <c r="L146" s="436"/>
      <c r="M146" s="330"/>
      <c r="N146" s="330"/>
      <c r="O146" s="330"/>
      <c r="P146" s="330"/>
      <c r="Q146" s="330"/>
      <c r="R146" s="330"/>
      <c r="S146" s="330"/>
      <c r="T146" s="330"/>
      <c r="U146" s="330"/>
      <c r="V146" s="330"/>
      <c r="W146" s="330"/>
      <c r="X146" s="330"/>
      <c r="Y146" s="330"/>
      <c r="Z146" s="330"/>
      <c r="AA146" s="330"/>
      <c r="AB146" s="330"/>
      <c r="AC146" s="330"/>
      <c r="AD146" s="330"/>
      <c r="AE146" s="330"/>
      <c r="AF146" s="346"/>
      <c r="AG146" s="439"/>
      <c r="AH146" s="439"/>
      <c r="AI146" s="178"/>
    </row>
    <row r="147" spans="2:35" s="166" customFormat="1" ht="31.15" customHeight="1" x14ac:dyDescent="0.2">
      <c r="B147" s="435"/>
      <c r="C147" s="455" t="s">
        <v>121</v>
      </c>
      <c r="D147" s="225"/>
      <c r="E147" s="436"/>
      <c r="F147" s="330"/>
      <c r="G147" s="436">
        <v>0</v>
      </c>
      <c r="H147" s="436">
        <f t="shared" si="136"/>
        <v>0</v>
      </c>
      <c r="I147" s="436">
        <v>0</v>
      </c>
      <c r="J147" s="436">
        <v>0</v>
      </c>
      <c r="K147" s="436"/>
      <c r="L147" s="436"/>
      <c r="M147" s="330"/>
      <c r="N147" s="330"/>
      <c r="O147" s="330">
        <f t="shared" si="137"/>
        <v>0</v>
      </c>
      <c r="P147" s="330">
        <f t="shared" si="138"/>
        <v>0</v>
      </c>
      <c r="Q147" s="330" t="e">
        <f t="shared" si="139"/>
        <v>#N/A</v>
      </c>
      <c r="R147" s="330" t="e">
        <f t="shared" si="140"/>
        <v>#N/A</v>
      </c>
      <c r="S147" s="330" t="e">
        <f t="shared" si="141"/>
        <v>#N/A</v>
      </c>
      <c r="T147" s="330" t="e">
        <f t="shared" si="142"/>
        <v>#N/A</v>
      </c>
      <c r="U147" s="330" t="e">
        <f t="shared" si="143"/>
        <v>#N/A</v>
      </c>
      <c r="V147" s="330" t="e">
        <f t="shared" si="144"/>
        <v>#N/A</v>
      </c>
      <c r="W147" s="330" t="e">
        <f t="shared" si="145"/>
        <v>#N/A</v>
      </c>
      <c r="X147" s="330" t="e">
        <f t="shared" si="146"/>
        <v>#N/A</v>
      </c>
      <c r="Y147" s="330"/>
      <c r="Z147" s="330"/>
      <c r="AA147" s="330"/>
      <c r="AB147" s="330"/>
      <c r="AC147" s="330"/>
      <c r="AD147" s="330"/>
      <c r="AE147" s="330"/>
      <c r="AF147" s="346"/>
      <c r="AG147" s="539"/>
      <c r="AH147" s="540"/>
      <c r="AI147" s="372"/>
    </row>
    <row r="148" spans="2:35" s="166" customFormat="1" ht="34.5" customHeight="1" x14ac:dyDescent="0.2">
      <c r="B148" s="468">
        <v>42</v>
      </c>
      <c r="C148" s="341" t="s">
        <v>261</v>
      </c>
      <c r="D148" s="225" t="s">
        <v>123</v>
      </c>
      <c r="E148" s="436">
        <v>283.44</v>
      </c>
      <c r="F148" s="330">
        <v>4251.66</v>
      </c>
      <c r="G148" s="436">
        <v>0</v>
      </c>
      <c r="H148" s="436">
        <f t="shared" ref="H148:H149" si="184">G148</f>
        <v>0</v>
      </c>
      <c r="I148" s="436">
        <v>0</v>
      </c>
      <c r="J148" s="436">
        <v>0</v>
      </c>
      <c r="K148" s="436"/>
      <c r="L148" s="436"/>
      <c r="M148" s="330">
        <f>F148+L148+Z148</f>
        <v>4251.66</v>
      </c>
      <c r="N148" s="330"/>
      <c r="O148" s="330">
        <f t="shared" ref="O148:O149" si="185">IF(E148=47.16,0,IF(E148&gt;47.16,J148*0.5,0))</f>
        <v>0</v>
      </c>
      <c r="P148" s="330">
        <f>F148+G148+H148+K148+O148+I148</f>
        <v>4251.66</v>
      </c>
      <c r="Q148" s="330">
        <f t="shared" ref="Q148:Q149" si="186">VLOOKUP(P148,Tarifa1,1)</f>
        <v>2962.9549999999999</v>
      </c>
      <c r="R148" s="330">
        <f t="shared" ref="R148:R149" si="187">P148-Q148</f>
        <v>1288.7049999999999</v>
      </c>
      <c r="S148" s="330">
        <f t="shared" ref="S148:S149" si="188">VLOOKUP(P148,Tarifa1,3)</f>
        <v>0.21360000000000001</v>
      </c>
      <c r="T148" s="330">
        <f t="shared" ref="T148:T149" si="189">R148*S148</f>
        <v>275.26738799999998</v>
      </c>
      <c r="U148" s="330">
        <f t="shared" ref="U148:U149" si="190">VLOOKUP(P148,Tarifa1,2)</f>
        <v>313.8</v>
      </c>
      <c r="V148" s="330">
        <f t="shared" ref="V148:V149" si="191">T148+U148</f>
        <v>589.06738799999994</v>
      </c>
      <c r="W148" s="330">
        <f t="shared" ref="W148:W149" si="192">VLOOKUP(P148,Credito1,2)</f>
        <v>0</v>
      </c>
      <c r="X148" s="330">
        <f t="shared" ref="X148:X149" si="193">V148-W148</f>
        <v>589.06738799999994</v>
      </c>
      <c r="Y148" s="330"/>
      <c r="Z148" s="330"/>
      <c r="AA148" s="330">
        <v>341.18</v>
      </c>
      <c r="AB148" s="330"/>
      <c r="AC148" s="330"/>
      <c r="AD148" s="330">
        <f>AA148</f>
        <v>341.18</v>
      </c>
      <c r="AE148" s="330">
        <f>M148-AD148</f>
        <v>3910.48</v>
      </c>
      <c r="AF148" s="404" t="s">
        <v>253</v>
      </c>
      <c r="AG148" s="539"/>
      <c r="AH148" s="540"/>
      <c r="AI148" s="372"/>
    </row>
    <row r="149" spans="2:35" s="166" customFormat="1" ht="30.75" customHeight="1" x14ac:dyDescent="0.2">
      <c r="B149" s="435">
        <v>43</v>
      </c>
      <c r="C149" s="341" t="s">
        <v>124</v>
      </c>
      <c r="D149" s="180" t="s">
        <v>88</v>
      </c>
      <c r="E149" s="436">
        <v>365.81</v>
      </c>
      <c r="F149" s="330">
        <v>5487.09</v>
      </c>
      <c r="G149" s="436">
        <v>2</v>
      </c>
      <c r="H149" s="436">
        <f t="shared" si="184"/>
        <v>2</v>
      </c>
      <c r="I149" s="436">
        <v>0</v>
      </c>
      <c r="J149" s="436">
        <v>0</v>
      </c>
      <c r="K149" s="436"/>
      <c r="L149" s="436"/>
      <c r="M149" s="330">
        <f t="shared" ref="M149:M154" si="194">F149+L149+Z149</f>
        <v>5487.09</v>
      </c>
      <c r="N149" s="330"/>
      <c r="O149" s="330">
        <f t="shared" si="185"/>
        <v>0</v>
      </c>
      <c r="P149" s="330">
        <f t="shared" ref="P149" si="195">F149+G149+H149+K149+O149+I149</f>
        <v>5491.09</v>
      </c>
      <c r="Q149" s="330">
        <f t="shared" si="186"/>
        <v>2962.9549999999999</v>
      </c>
      <c r="R149" s="330">
        <f t="shared" si="187"/>
        <v>2528.1350000000002</v>
      </c>
      <c r="S149" s="330">
        <f t="shared" si="188"/>
        <v>0.21360000000000001</v>
      </c>
      <c r="T149" s="330">
        <f t="shared" si="189"/>
        <v>540.00963600000011</v>
      </c>
      <c r="U149" s="330">
        <f t="shared" si="190"/>
        <v>313.8</v>
      </c>
      <c r="V149" s="330">
        <f t="shared" si="191"/>
        <v>853.80963600000018</v>
      </c>
      <c r="W149" s="330">
        <f t="shared" si="192"/>
        <v>0</v>
      </c>
      <c r="X149" s="330">
        <f t="shared" si="193"/>
        <v>853.80963600000018</v>
      </c>
      <c r="Y149" s="330"/>
      <c r="Z149" s="330"/>
      <c r="AA149" s="330">
        <v>538.52</v>
      </c>
      <c r="AB149" s="330"/>
      <c r="AC149" s="330"/>
      <c r="AD149" s="330">
        <f t="shared" ref="AD149:AD154" si="196">AA149</f>
        <v>538.52</v>
      </c>
      <c r="AE149" s="330">
        <f t="shared" ref="AE149:AE153" si="197">M149-AD149</f>
        <v>4948.57</v>
      </c>
      <c r="AF149" s="404" t="s">
        <v>252</v>
      </c>
      <c r="AG149" s="539"/>
      <c r="AH149" s="540"/>
      <c r="AI149" s="372"/>
    </row>
    <row r="150" spans="2:35" s="166" customFormat="1" ht="33" customHeight="1" x14ac:dyDescent="0.2">
      <c r="B150" s="456">
        <v>44</v>
      </c>
      <c r="C150" s="341" t="s">
        <v>125</v>
      </c>
      <c r="D150" s="225" t="s">
        <v>100</v>
      </c>
      <c r="E150" s="436">
        <v>428.67</v>
      </c>
      <c r="F150" s="330">
        <v>6430.04</v>
      </c>
      <c r="G150" s="436">
        <v>0</v>
      </c>
      <c r="H150" s="436">
        <f t="shared" si="136"/>
        <v>0</v>
      </c>
      <c r="I150" s="436">
        <v>0</v>
      </c>
      <c r="J150" s="436">
        <v>0</v>
      </c>
      <c r="K150" s="436"/>
      <c r="L150" s="436"/>
      <c r="M150" s="330">
        <f t="shared" si="194"/>
        <v>6430.04</v>
      </c>
      <c r="N150" s="330"/>
      <c r="O150" s="330">
        <f t="shared" si="137"/>
        <v>0</v>
      </c>
      <c r="P150" s="330">
        <f>F150+G150+H150+K150+O150+I150</f>
        <v>6430.04</v>
      </c>
      <c r="Q150" s="330">
        <f t="shared" si="139"/>
        <v>5975.93</v>
      </c>
      <c r="R150" s="330">
        <f t="shared" si="140"/>
        <v>454.10999999999967</v>
      </c>
      <c r="S150" s="330">
        <f t="shared" si="141"/>
        <v>0.23519999999999999</v>
      </c>
      <c r="T150" s="330">
        <f t="shared" si="142"/>
        <v>106.80667199999992</v>
      </c>
      <c r="U150" s="330">
        <f t="shared" si="143"/>
        <v>957.375</v>
      </c>
      <c r="V150" s="330">
        <f t="shared" si="144"/>
        <v>1064.1816719999999</v>
      </c>
      <c r="W150" s="330">
        <f t="shared" si="145"/>
        <v>0</v>
      </c>
      <c r="X150" s="330">
        <f t="shared" si="146"/>
        <v>1064.1816719999999</v>
      </c>
      <c r="Y150" s="330"/>
      <c r="Z150" s="330"/>
      <c r="AA150" s="330">
        <v>689.39</v>
      </c>
      <c r="AB150" s="330"/>
      <c r="AC150" s="330"/>
      <c r="AD150" s="330">
        <f t="shared" si="196"/>
        <v>689.39</v>
      </c>
      <c r="AE150" s="330">
        <f t="shared" si="197"/>
        <v>5740.65</v>
      </c>
      <c r="AF150" s="404" t="s">
        <v>252</v>
      </c>
      <c r="AG150" s="539"/>
      <c r="AH150" s="540"/>
      <c r="AI150" s="372"/>
    </row>
    <row r="151" spans="2:35" s="166" customFormat="1" ht="33.75" customHeight="1" x14ac:dyDescent="0.2">
      <c r="B151" s="435">
        <v>45</v>
      </c>
      <c r="C151" s="341" t="s">
        <v>126</v>
      </c>
      <c r="D151" s="225" t="s">
        <v>127</v>
      </c>
      <c r="E151" s="436">
        <v>189.34</v>
      </c>
      <c r="F151" s="330">
        <v>2840.06</v>
      </c>
      <c r="G151" s="436">
        <v>4</v>
      </c>
      <c r="H151" s="436">
        <f t="shared" ref="H151" si="198">G151</f>
        <v>4</v>
      </c>
      <c r="I151" s="436">
        <v>0</v>
      </c>
      <c r="J151" s="436">
        <v>0</v>
      </c>
      <c r="K151" s="436"/>
      <c r="L151" s="436"/>
      <c r="M151" s="330">
        <f t="shared" si="194"/>
        <v>2840.06</v>
      </c>
      <c r="N151" s="330"/>
      <c r="O151" s="330">
        <f t="shared" ref="O151:O152" si="199">IF(E151=47.16,0,IF(E151&gt;47.16,J151*0.5,0))</f>
        <v>0</v>
      </c>
      <c r="P151" s="330">
        <f t="shared" ref="P151:P152" si="200">F151+G151+H151+K151+O151+I151</f>
        <v>2848.06</v>
      </c>
      <c r="Q151" s="330">
        <f t="shared" ref="Q151:Q152" si="201">VLOOKUP(P151,Tarifa1,1)</f>
        <v>2474.7800000000002</v>
      </c>
      <c r="R151" s="330">
        <f t="shared" ref="R151:R152" si="202">P151-Q151</f>
        <v>373.27999999999975</v>
      </c>
      <c r="S151" s="330">
        <f t="shared" ref="S151:S152" si="203">VLOOKUP(P151,Tarifa1,3)</f>
        <v>0.1792</v>
      </c>
      <c r="T151" s="330">
        <f t="shared" ref="T151:T152" si="204">R151*S151</f>
        <v>66.89177599999995</v>
      </c>
      <c r="U151" s="330">
        <f t="shared" ref="U151:U152" si="205">VLOOKUP(P151,Tarifa1,2)</f>
        <v>226.27500000000001</v>
      </c>
      <c r="V151" s="330">
        <f t="shared" ref="V151:V152" si="206">T151+U151</f>
        <v>293.16677599999997</v>
      </c>
      <c r="W151" s="330">
        <f t="shared" ref="W151:W152" si="207">VLOOKUP(P151,Credito1,2)</f>
        <v>0</v>
      </c>
      <c r="X151" s="330">
        <f t="shared" ref="X151:X152" si="208">V151-W151</f>
        <v>293.16677599999997</v>
      </c>
      <c r="Y151" s="330"/>
      <c r="Z151" s="330"/>
      <c r="AA151" s="330">
        <v>187.6</v>
      </c>
      <c r="AB151" s="330"/>
      <c r="AC151" s="330"/>
      <c r="AD151" s="330">
        <f t="shared" si="196"/>
        <v>187.6</v>
      </c>
      <c r="AE151" s="330">
        <f t="shared" si="197"/>
        <v>2652.46</v>
      </c>
      <c r="AF151" s="404" t="s">
        <v>252</v>
      </c>
      <c r="AG151" s="539"/>
      <c r="AH151" s="540"/>
      <c r="AI151" s="372"/>
    </row>
    <row r="152" spans="2:35" s="166" customFormat="1" ht="33.75" customHeight="1" x14ac:dyDescent="0.2">
      <c r="B152" s="435">
        <v>46</v>
      </c>
      <c r="C152" s="341" t="s">
        <v>128</v>
      </c>
      <c r="D152" s="225" t="s">
        <v>127</v>
      </c>
      <c r="E152" s="436">
        <v>251.11</v>
      </c>
      <c r="F152" s="330">
        <v>3766.64</v>
      </c>
      <c r="G152" s="436">
        <v>4</v>
      </c>
      <c r="H152" s="436">
        <f t="shared" ref="H152" si="209">G152</f>
        <v>4</v>
      </c>
      <c r="I152" s="436">
        <v>0</v>
      </c>
      <c r="J152" s="436">
        <v>0</v>
      </c>
      <c r="K152" s="436"/>
      <c r="L152" s="436"/>
      <c r="M152" s="330">
        <f t="shared" si="194"/>
        <v>3766.64</v>
      </c>
      <c r="N152" s="330"/>
      <c r="O152" s="330">
        <f t="shared" si="199"/>
        <v>0</v>
      </c>
      <c r="P152" s="330">
        <f t="shared" si="200"/>
        <v>3774.64</v>
      </c>
      <c r="Q152" s="330">
        <f t="shared" si="201"/>
        <v>2962.9549999999999</v>
      </c>
      <c r="R152" s="330">
        <f t="shared" si="202"/>
        <v>811.68499999999995</v>
      </c>
      <c r="S152" s="330">
        <f t="shared" si="203"/>
        <v>0.21360000000000001</v>
      </c>
      <c r="T152" s="330">
        <f t="shared" si="204"/>
        <v>173.37591599999999</v>
      </c>
      <c r="U152" s="330">
        <f t="shared" si="205"/>
        <v>313.8</v>
      </c>
      <c r="V152" s="330">
        <f t="shared" si="206"/>
        <v>487.17591600000003</v>
      </c>
      <c r="W152" s="330">
        <f t="shared" si="207"/>
        <v>0</v>
      </c>
      <c r="X152" s="330">
        <f t="shared" si="208"/>
        <v>487.17591600000003</v>
      </c>
      <c r="Y152" s="330"/>
      <c r="Z152" s="330"/>
      <c r="AA152" s="330">
        <v>288.41000000000003</v>
      </c>
      <c r="AB152" s="330"/>
      <c r="AC152" s="330"/>
      <c r="AD152" s="330">
        <f t="shared" si="196"/>
        <v>288.41000000000003</v>
      </c>
      <c r="AE152" s="330">
        <f t="shared" si="197"/>
        <v>3478.23</v>
      </c>
      <c r="AF152" s="404" t="s">
        <v>252</v>
      </c>
      <c r="AG152" s="539"/>
      <c r="AH152" s="540"/>
      <c r="AI152" s="372"/>
    </row>
    <row r="153" spans="2:35" s="166" customFormat="1" ht="27.75" customHeight="1" x14ac:dyDescent="0.2">
      <c r="B153" s="435">
        <v>47</v>
      </c>
      <c r="C153" s="341" t="s">
        <v>129</v>
      </c>
      <c r="D153" s="180" t="s">
        <v>130</v>
      </c>
      <c r="E153" s="436">
        <v>328.34</v>
      </c>
      <c r="F153" s="330">
        <v>4925.08</v>
      </c>
      <c r="G153" s="436">
        <v>7</v>
      </c>
      <c r="H153" s="436">
        <f t="shared" si="136"/>
        <v>7</v>
      </c>
      <c r="I153" s="436">
        <v>0</v>
      </c>
      <c r="J153" s="436">
        <v>0</v>
      </c>
      <c r="K153" s="436"/>
      <c r="L153" s="436"/>
      <c r="M153" s="330">
        <f t="shared" si="194"/>
        <v>4925.08</v>
      </c>
      <c r="N153" s="330"/>
      <c r="O153" s="330">
        <f t="shared" ref="O153:O166" si="210">IF(E153=47.16,0,IF(E153&gt;47.16,J153*0.5,0))</f>
        <v>0</v>
      </c>
      <c r="P153" s="330">
        <f t="shared" ref="P153:P166" si="211">F153+G153+H153+K153+O153+I153</f>
        <v>4939.08</v>
      </c>
      <c r="Q153" s="330">
        <f t="shared" ref="Q153:Q166" si="212">VLOOKUP(P153,Tarifa1,1)</f>
        <v>2962.9549999999999</v>
      </c>
      <c r="R153" s="330">
        <f t="shared" ref="R153:R166" si="213">P153-Q153</f>
        <v>1976.125</v>
      </c>
      <c r="S153" s="330">
        <f t="shared" ref="S153:S166" si="214">VLOOKUP(P153,Tarifa1,3)</f>
        <v>0.21360000000000001</v>
      </c>
      <c r="T153" s="330">
        <f t="shared" ref="T153:T166" si="215">R153*S153</f>
        <v>422.1003</v>
      </c>
      <c r="U153" s="330">
        <f t="shared" ref="U153:U166" si="216">VLOOKUP(P153,Tarifa1,2)</f>
        <v>313.8</v>
      </c>
      <c r="V153" s="330">
        <f t="shared" ref="V153:V166" si="217">T153+U153</f>
        <v>735.90030000000002</v>
      </c>
      <c r="W153" s="330">
        <f t="shared" ref="W153:W166" si="218">VLOOKUP(P153,Credito1,2)</f>
        <v>0</v>
      </c>
      <c r="X153" s="330">
        <f t="shared" ref="X153:X166" si="219">V153-W153</f>
        <v>735.90030000000002</v>
      </c>
      <c r="Y153" s="330"/>
      <c r="Z153" s="330"/>
      <c r="AA153" s="330">
        <v>448.6</v>
      </c>
      <c r="AB153" s="330"/>
      <c r="AC153" s="330"/>
      <c r="AD153" s="330">
        <f t="shared" si="196"/>
        <v>448.6</v>
      </c>
      <c r="AE153" s="330">
        <f t="shared" si="197"/>
        <v>4476.4799999999996</v>
      </c>
      <c r="AF153" s="404" t="s">
        <v>252</v>
      </c>
      <c r="AG153" s="539"/>
      <c r="AH153" s="540"/>
      <c r="AI153" s="372"/>
    </row>
    <row r="154" spans="2:35" s="166" customFormat="1" ht="30" customHeight="1" x14ac:dyDescent="0.2">
      <c r="B154" s="435">
        <v>48</v>
      </c>
      <c r="C154" s="341" t="s">
        <v>131</v>
      </c>
      <c r="D154" s="225" t="s">
        <v>83</v>
      </c>
      <c r="E154" s="436">
        <v>287.58</v>
      </c>
      <c r="F154" s="330">
        <v>4313.67</v>
      </c>
      <c r="G154" s="436">
        <v>7</v>
      </c>
      <c r="H154" s="436">
        <f t="shared" ref="H154" si="220">G154</f>
        <v>7</v>
      </c>
      <c r="I154" s="436">
        <v>0</v>
      </c>
      <c r="J154" s="436">
        <v>0</v>
      </c>
      <c r="K154" s="436"/>
      <c r="L154" s="436"/>
      <c r="M154" s="330">
        <f t="shared" si="194"/>
        <v>4313.67</v>
      </c>
      <c r="N154" s="330"/>
      <c r="O154" s="330">
        <f t="shared" si="210"/>
        <v>0</v>
      </c>
      <c r="P154" s="330">
        <f t="shared" si="211"/>
        <v>4327.67</v>
      </c>
      <c r="Q154" s="330">
        <f t="shared" si="212"/>
        <v>2962.9549999999999</v>
      </c>
      <c r="R154" s="330">
        <f t="shared" si="213"/>
        <v>1364.7150000000001</v>
      </c>
      <c r="S154" s="330">
        <f t="shared" si="214"/>
        <v>0.21360000000000001</v>
      </c>
      <c r="T154" s="330">
        <f t="shared" si="215"/>
        <v>291.50312400000007</v>
      </c>
      <c r="U154" s="330">
        <f t="shared" si="216"/>
        <v>313.8</v>
      </c>
      <c r="V154" s="330">
        <f t="shared" si="217"/>
        <v>605.30312400000003</v>
      </c>
      <c r="W154" s="330">
        <f t="shared" si="218"/>
        <v>0</v>
      </c>
      <c r="X154" s="330">
        <f t="shared" si="219"/>
        <v>605.30312400000003</v>
      </c>
      <c r="Y154" s="330"/>
      <c r="Z154" s="330"/>
      <c r="AA154" s="330">
        <v>350.77</v>
      </c>
      <c r="AB154" s="330"/>
      <c r="AC154" s="330"/>
      <c r="AD154" s="330">
        <f t="shared" si="196"/>
        <v>350.77</v>
      </c>
      <c r="AE154" s="330">
        <f t="shared" ref="AE154:AE170" si="221">M154-AD154</f>
        <v>3962.9</v>
      </c>
      <c r="AF154" s="404" t="s">
        <v>252</v>
      </c>
      <c r="AG154" s="539"/>
      <c r="AH154" s="540"/>
      <c r="AI154" s="372"/>
    </row>
    <row r="155" spans="2:35" s="166" customFormat="1" ht="27.6" customHeight="1" x14ac:dyDescent="0.2">
      <c r="B155" s="435"/>
      <c r="C155" s="457" t="s">
        <v>132</v>
      </c>
      <c r="D155" s="225"/>
      <c r="E155" s="436">
        <v>287.58</v>
      </c>
      <c r="F155" s="330">
        <v>4313.67</v>
      </c>
      <c r="G155" s="436">
        <v>9</v>
      </c>
      <c r="H155" s="436">
        <f t="shared" si="136"/>
        <v>9</v>
      </c>
      <c r="I155" s="436">
        <v>0</v>
      </c>
      <c r="J155" s="436">
        <v>0</v>
      </c>
      <c r="K155" s="436"/>
      <c r="L155" s="436"/>
      <c r="M155" s="330"/>
      <c r="N155" s="330"/>
      <c r="O155" s="330">
        <f t="shared" si="210"/>
        <v>0</v>
      </c>
      <c r="P155" s="330">
        <f t="shared" si="211"/>
        <v>4331.67</v>
      </c>
      <c r="Q155" s="330">
        <f t="shared" si="212"/>
        <v>2962.9549999999999</v>
      </c>
      <c r="R155" s="330">
        <f t="shared" si="213"/>
        <v>1368.7150000000001</v>
      </c>
      <c r="S155" s="330">
        <f t="shared" si="214"/>
        <v>0.21360000000000001</v>
      </c>
      <c r="T155" s="330">
        <f t="shared" si="215"/>
        <v>292.35752400000007</v>
      </c>
      <c r="U155" s="330">
        <f t="shared" si="216"/>
        <v>313.8</v>
      </c>
      <c r="V155" s="330">
        <f t="shared" si="217"/>
        <v>606.15752400000008</v>
      </c>
      <c r="W155" s="330">
        <f t="shared" si="218"/>
        <v>0</v>
      </c>
      <c r="X155" s="330">
        <f t="shared" si="219"/>
        <v>606.15752400000008</v>
      </c>
      <c r="Y155" s="330"/>
      <c r="Z155" s="330"/>
      <c r="AA155" s="330">
        <v>350.77</v>
      </c>
      <c r="AB155" s="330"/>
      <c r="AC155" s="330"/>
      <c r="AD155" s="330"/>
      <c r="AE155" s="330">
        <f t="shared" si="221"/>
        <v>0</v>
      </c>
      <c r="AF155" s="346"/>
      <c r="AG155" s="539"/>
      <c r="AH155" s="540"/>
      <c r="AI155" s="372"/>
    </row>
    <row r="156" spans="2:35" s="166" customFormat="1" ht="33.75" customHeight="1" x14ac:dyDescent="0.2">
      <c r="B156" s="435">
        <v>49</v>
      </c>
      <c r="C156" s="341" t="s">
        <v>133</v>
      </c>
      <c r="D156" s="225" t="s">
        <v>134</v>
      </c>
      <c r="E156" s="436">
        <v>287.58</v>
      </c>
      <c r="F156" s="330">
        <v>4313.67</v>
      </c>
      <c r="G156" s="436">
        <v>3</v>
      </c>
      <c r="H156" s="436">
        <f t="shared" ref="H156:H193" si="222">G156</f>
        <v>3</v>
      </c>
      <c r="I156" s="436">
        <v>0</v>
      </c>
      <c r="J156" s="436">
        <v>0</v>
      </c>
      <c r="K156" s="436"/>
      <c r="L156" s="436"/>
      <c r="M156" s="330">
        <f t="shared" ref="M156:M164" si="223">F156+L156+Z156</f>
        <v>4313.67</v>
      </c>
      <c r="N156" s="330"/>
      <c r="O156" s="330">
        <f t="shared" si="210"/>
        <v>0</v>
      </c>
      <c r="P156" s="330">
        <f t="shared" si="211"/>
        <v>4319.67</v>
      </c>
      <c r="Q156" s="330">
        <f t="shared" si="212"/>
        <v>2962.9549999999999</v>
      </c>
      <c r="R156" s="330">
        <f t="shared" si="213"/>
        <v>1356.7150000000001</v>
      </c>
      <c r="S156" s="330">
        <f t="shared" si="214"/>
        <v>0.21360000000000001</v>
      </c>
      <c r="T156" s="330">
        <f t="shared" si="215"/>
        <v>289.79432400000007</v>
      </c>
      <c r="U156" s="330">
        <f t="shared" si="216"/>
        <v>313.8</v>
      </c>
      <c r="V156" s="330">
        <f t="shared" si="217"/>
        <v>603.59432400000014</v>
      </c>
      <c r="W156" s="330">
        <f t="shared" si="218"/>
        <v>0</v>
      </c>
      <c r="X156" s="330">
        <f t="shared" si="219"/>
        <v>603.59432400000014</v>
      </c>
      <c r="Y156" s="330"/>
      <c r="Z156" s="330"/>
      <c r="AA156" s="330">
        <v>350.77</v>
      </c>
      <c r="AB156" s="330"/>
      <c r="AC156" s="330"/>
      <c r="AD156" s="330">
        <f t="shared" ref="AD156:AD170" si="224">AA156</f>
        <v>350.77</v>
      </c>
      <c r="AE156" s="330">
        <f t="shared" si="221"/>
        <v>3962.9</v>
      </c>
      <c r="AF156" s="404" t="s">
        <v>252</v>
      </c>
      <c r="AG156" s="539"/>
      <c r="AH156" s="540"/>
      <c r="AI156" s="372"/>
    </row>
    <row r="157" spans="2:35" s="166" customFormat="1" ht="33" hidden="1" customHeight="1" x14ac:dyDescent="0.2">
      <c r="B157" s="435">
        <v>64</v>
      </c>
      <c r="C157" s="341" t="s">
        <v>135</v>
      </c>
      <c r="D157" s="225" t="s">
        <v>134</v>
      </c>
      <c r="E157" s="436">
        <v>287.58</v>
      </c>
      <c r="F157" s="330">
        <v>4313.67</v>
      </c>
      <c r="G157" s="436">
        <v>0</v>
      </c>
      <c r="H157" s="436">
        <f t="shared" si="222"/>
        <v>0</v>
      </c>
      <c r="I157" s="436">
        <v>0</v>
      </c>
      <c r="J157" s="436">
        <v>0</v>
      </c>
      <c r="K157" s="436">
        <v>0</v>
      </c>
      <c r="L157" s="436">
        <v>110</v>
      </c>
      <c r="M157" s="330">
        <f t="shared" si="223"/>
        <v>4603.67</v>
      </c>
      <c r="N157" s="330"/>
      <c r="O157" s="330">
        <f t="shared" si="210"/>
        <v>0</v>
      </c>
      <c r="P157" s="330">
        <f t="shared" si="211"/>
        <v>4313.67</v>
      </c>
      <c r="Q157" s="330">
        <f t="shared" si="212"/>
        <v>2962.9549999999999</v>
      </c>
      <c r="R157" s="330">
        <f t="shared" si="213"/>
        <v>1350.7150000000001</v>
      </c>
      <c r="S157" s="330">
        <f t="shared" si="214"/>
        <v>0.21360000000000001</v>
      </c>
      <c r="T157" s="330">
        <f t="shared" si="215"/>
        <v>288.51272400000005</v>
      </c>
      <c r="U157" s="330">
        <f t="shared" si="216"/>
        <v>313.8</v>
      </c>
      <c r="V157" s="330">
        <f t="shared" si="217"/>
        <v>602.31272400000012</v>
      </c>
      <c r="W157" s="330">
        <f t="shared" si="218"/>
        <v>0</v>
      </c>
      <c r="X157" s="330">
        <f t="shared" si="219"/>
        <v>602.31272400000012</v>
      </c>
      <c r="Y157" s="330"/>
      <c r="Z157" s="330">
        <v>180</v>
      </c>
      <c r="AA157" s="330">
        <v>350.77</v>
      </c>
      <c r="AB157" s="330"/>
      <c r="AC157" s="330"/>
      <c r="AD157" s="330">
        <f t="shared" si="224"/>
        <v>350.77</v>
      </c>
      <c r="AE157" s="330">
        <f t="shared" si="221"/>
        <v>4252.8999999999996</v>
      </c>
      <c r="AF157" s="404" t="s">
        <v>252</v>
      </c>
      <c r="AG157" s="539"/>
      <c r="AH157" s="540"/>
      <c r="AI157" s="372"/>
    </row>
    <row r="158" spans="2:35" s="166" customFormat="1" ht="31.5" customHeight="1" x14ac:dyDescent="0.2">
      <c r="B158" s="435">
        <v>50</v>
      </c>
      <c r="C158" s="341" t="s">
        <v>136</v>
      </c>
      <c r="D158" s="225" t="s">
        <v>134</v>
      </c>
      <c r="E158" s="436">
        <v>287.58</v>
      </c>
      <c r="F158" s="330">
        <v>4313.67</v>
      </c>
      <c r="G158" s="436">
        <v>7</v>
      </c>
      <c r="H158" s="436">
        <f t="shared" ref="H158" si="225">G158</f>
        <v>7</v>
      </c>
      <c r="I158" s="436">
        <v>0</v>
      </c>
      <c r="J158" s="436">
        <v>0</v>
      </c>
      <c r="K158" s="436"/>
      <c r="L158" s="436"/>
      <c r="M158" s="330">
        <f t="shared" si="223"/>
        <v>4313.67</v>
      </c>
      <c r="N158" s="330"/>
      <c r="O158" s="330">
        <f t="shared" ref="O158" si="226">IF(E158=47.16,0,IF(E158&gt;47.16,J158*0.5,0))</f>
        <v>0</v>
      </c>
      <c r="P158" s="330">
        <f t="shared" ref="P158" si="227">F158+G158+H158+K158+O158+I158</f>
        <v>4327.67</v>
      </c>
      <c r="Q158" s="330">
        <f t="shared" ref="Q158" si="228">VLOOKUP(P158,Tarifa1,1)</f>
        <v>2962.9549999999999</v>
      </c>
      <c r="R158" s="330">
        <f t="shared" ref="R158" si="229">P158-Q158</f>
        <v>1364.7150000000001</v>
      </c>
      <c r="S158" s="330">
        <f t="shared" ref="S158" si="230">VLOOKUP(P158,Tarifa1,3)</f>
        <v>0.21360000000000001</v>
      </c>
      <c r="T158" s="330">
        <f t="shared" ref="T158" si="231">R158*S158</f>
        <v>291.50312400000007</v>
      </c>
      <c r="U158" s="330">
        <f t="shared" ref="U158" si="232">VLOOKUP(P158,Tarifa1,2)</f>
        <v>313.8</v>
      </c>
      <c r="V158" s="330">
        <f t="shared" ref="V158" si="233">T158+U158</f>
        <v>605.30312400000003</v>
      </c>
      <c r="W158" s="330">
        <f t="shared" ref="W158" si="234">VLOOKUP(P158,Credito1,2)</f>
        <v>0</v>
      </c>
      <c r="X158" s="330">
        <f t="shared" ref="X158" si="235">V158-W158</f>
        <v>605.30312400000003</v>
      </c>
      <c r="Y158" s="330"/>
      <c r="Z158" s="330"/>
      <c r="AA158" s="330">
        <v>350.77</v>
      </c>
      <c r="AB158" s="330"/>
      <c r="AC158" s="330"/>
      <c r="AD158" s="330">
        <f t="shared" si="224"/>
        <v>350.77</v>
      </c>
      <c r="AE158" s="330">
        <f t="shared" si="221"/>
        <v>3962.9</v>
      </c>
      <c r="AF158" s="404" t="s">
        <v>252</v>
      </c>
      <c r="AG158" s="539"/>
      <c r="AH158" s="540"/>
      <c r="AI158" s="372"/>
    </row>
    <row r="159" spans="2:35" s="166" customFormat="1" ht="30.75" customHeight="1" x14ac:dyDescent="0.2">
      <c r="B159" s="435">
        <v>51</v>
      </c>
      <c r="C159" s="341" t="s">
        <v>137</v>
      </c>
      <c r="D159" s="225" t="s">
        <v>134</v>
      </c>
      <c r="E159" s="436">
        <v>287.58</v>
      </c>
      <c r="F159" s="330">
        <v>4313.67</v>
      </c>
      <c r="G159" s="436">
        <v>7</v>
      </c>
      <c r="H159" s="436">
        <f t="shared" ref="H159" si="236">G159</f>
        <v>7</v>
      </c>
      <c r="I159" s="436">
        <v>0</v>
      </c>
      <c r="J159" s="436">
        <v>0</v>
      </c>
      <c r="K159" s="436"/>
      <c r="L159" s="436"/>
      <c r="M159" s="330">
        <f t="shared" si="223"/>
        <v>4313.67</v>
      </c>
      <c r="N159" s="330"/>
      <c r="O159" s="330">
        <f t="shared" ref="O159" si="237">IF(E159=47.16,0,IF(E159&gt;47.16,J159*0.5,0))</f>
        <v>0</v>
      </c>
      <c r="P159" s="330">
        <f t="shared" ref="P159" si="238">F159+G159+H159+K159+O159+I159</f>
        <v>4327.67</v>
      </c>
      <c r="Q159" s="330">
        <f t="shared" ref="Q159" si="239">VLOOKUP(P159,Tarifa1,1)</f>
        <v>2962.9549999999999</v>
      </c>
      <c r="R159" s="330">
        <f t="shared" ref="R159" si="240">P159-Q159</f>
        <v>1364.7150000000001</v>
      </c>
      <c r="S159" s="330">
        <f t="shared" ref="S159" si="241">VLOOKUP(P159,Tarifa1,3)</f>
        <v>0.21360000000000001</v>
      </c>
      <c r="T159" s="330">
        <f t="shared" ref="T159" si="242">R159*S159</f>
        <v>291.50312400000007</v>
      </c>
      <c r="U159" s="330">
        <f t="shared" ref="U159" si="243">VLOOKUP(P159,Tarifa1,2)</f>
        <v>313.8</v>
      </c>
      <c r="V159" s="330">
        <f t="shared" ref="V159" si="244">T159+U159</f>
        <v>605.30312400000003</v>
      </c>
      <c r="W159" s="330">
        <f t="shared" ref="W159" si="245">VLOOKUP(P159,Credito1,2)</f>
        <v>0</v>
      </c>
      <c r="X159" s="330">
        <f t="shared" ref="X159" si="246">V159-W159</f>
        <v>605.30312400000003</v>
      </c>
      <c r="Y159" s="330"/>
      <c r="Z159" s="330"/>
      <c r="AA159" s="330">
        <v>350.77</v>
      </c>
      <c r="AB159" s="330"/>
      <c r="AC159" s="330"/>
      <c r="AD159" s="330">
        <f t="shared" si="224"/>
        <v>350.77</v>
      </c>
      <c r="AE159" s="330">
        <f t="shared" si="221"/>
        <v>3962.9</v>
      </c>
      <c r="AF159" s="404" t="s">
        <v>252</v>
      </c>
      <c r="AG159" s="539"/>
      <c r="AH159" s="540"/>
      <c r="AI159" s="372"/>
    </row>
    <row r="160" spans="2:35" s="166" customFormat="1" ht="47.45" customHeight="1" x14ac:dyDescent="0.2">
      <c r="B160" s="435">
        <v>52</v>
      </c>
      <c r="C160" s="341" t="s">
        <v>138</v>
      </c>
      <c r="D160" s="225" t="s">
        <v>134</v>
      </c>
      <c r="E160" s="436">
        <v>287.58</v>
      </c>
      <c r="F160" s="330">
        <v>4313.67</v>
      </c>
      <c r="G160" s="436">
        <v>7</v>
      </c>
      <c r="H160" s="436">
        <f t="shared" ref="H160:H161" si="247">G160</f>
        <v>7</v>
      </c>
      <c r="I160" s="436">
        <v>0</v>
      </c>
      <c r="J160" s="436">
        <v>0</v>
      </c>
      <c r="K160" s="436"/>
      <c r="L160" s="436"/>
      <c r="M160" s="330">
        <f t="shared" si="223"/>
        <v>4313.67</v>
      </c>
      <c r="N160" s="330"/>
      <c r="O160" s="330">
        <f t="shared" ref="O160:O163" si="248">IF(E160=47.16,0,IF(E160&gt;47.16,J160*0.5,0))</f>
        <v>0</v>
      </c>
      <c r="P160" s="330">
        <f t="shared" ref="P160:P163" si="249">F160+G160+H160+K160+O160+I160</f>
        <v>4327.67</v>
      </c>
      <c r="Q160" s="330">
        <f t="shared" ref="Q160:Q163" si="250">VLOOKUP(P160,Tarifa1,1)</f>
        <v>2962.9549999999999</v>
      </c>
      <c r="R160" s="330">
        <f t="shared" ref="R160:R163" si="251">P160-Q160</f>
        <v>1364.7150000000001</v>
      </c>
      <c r="S160" s="330">
        <f t="shared" ref="S160:S163" si="252">VLOOKUP(P160,Tarifa1,3)</f>
        <v>0.21360000000000001</v>
      </c>
      <c r="T160" s="330">
        <f t="shared" ref="T160:T163" si="253">R160*S160</f>
        <v>291.50312400000007</v>
      </c>
      <c r="U160" s="330">
        <f t="shared" ref="U160:U163" si="254">VLOOKUP(P160,Tarifa1,2)</f>
        <v>313.8</v>
      </c>
      <c r="V160" s="330">
        <f t="shared" ref="V160:V163" si="255">T160+U160</f>
        <v>605.30312400000003</v>
      </c>
      <c r="W160" s="330">
        <f t="shared" ref="W160:W163" si="256">VLOOKUP(P160,Credito1,2)</f>
        <v>0</v>
      </c>
      <c r="X160" s="330">
        <f t="shared" ref="X160:X163" si="257">V160-W160</f>
        <v>605.30312400000003</v>
      </c>
      <c r="Y160" s="330"/>
      <c r="Z160" s="330"/>
      <c r="AA160" s="330">
        <v>350.77</v>
      </c>
      <c r="AB160" s="330"/>
      <c r="AC160" s="330"/>
      <c r="AD160" s="330">
        <f t="shared" si="224"/>
        <v>350.77</v>
      </c>
      <c r="AE160" s="330">
        <f t="shared" si="221"/>
        <v>3962.9</v>
      </c>
      <c r="AF160" s="404" t="s">
        <v>252</v>
      </c>
      <c r="AG160" s="539"/>
      <c r="AH160" s="540"/>
      <c r="AI160" s="372"/>
    </row>
    <row r="161" spans="1:36" s="166" customFormat="1" ht="39" customHeight="1" x14ac:dyDescent="0.2">
      <c r="B161" s="435">
        <v>53</v>
      </c>
      <c r="C161" s="341" t="s">
        <v>139</v>
      </c>
      <c r="D161" s="225" t="s">
        <v>134</v>
      </c>
      <c r="E161" s="436">
        <v>287.58</v>
      </c>
      <c r="F161" s="330">
        <v>4313.67</v>
      </c>
      <c r="G161" s="436">
        <v>7</v>
      </c>
      <c r="H161" s="436">
        <f t="shared" si="247"/>
        <v>7</v>
      </c>
      <c r="I161" s="436">
        <v>0</v>
      </c>
      <c r="J161" s="436">
        <v>0</v>
      </c>
      <c r="K161" s="436"/>
      <c r="L161" s="436"/>
      <c r="M161" s="330">
        <f t="shared" si="223"/>
        <v>4313.67</v>
      </c>
      <c r="N161" s="330"/>
      <c r="O161" s="330">
        <f t="shared" si="248"/>
        <v>0</v>
      </c>
      <c r="P161" s="330">
        <f t="shared" si="249"/>
        <v>4327.67</v>
      </c>
      <c r="Q161" s="330">
        <f t="shared" si="250"/>
        <v>2962.9549999999999</v>
      </c>
      <c r="R161" s="330">
        <f t="shared" si="251"/>
        <v>1364.7150000000001</v>
      </c>
      <c r="S161" s="330">
        <f t="shared" si="252"/>
        <v>0.21360000000000001</v>
      </c>
      <c r="T161" s="330">
        <f t="shared" si="253"/>
        <v>291.50312400000007</v>
      </c>
      <c r="U161" s="330">
        <f t="shared" si="254"/>
        <v>313.8</v>
      </c>
      <c r="V161" s="330">
        <f t="shared" si="255"/>
        <v>605.30312400000003</v>
      </c>
      <c r="W161" s="330">
        <f t="shared" si="256"/>
        <v>0</v>
      </c>
      <c r="X161" s="330">
        <f t="shared" si="257"/>
        <v>605.30312400000003</v>
      </c>
      <c r="Y161" s="330"/>
      <c r="Z161" s="330"/>
      <c r="AA161" s="330">
        <v>350.77</v>
      </c>
      <c r="AB161" s="330"/>
      <c r="AC161" s="330"/>
      <c r="AD161" s="330">
        <f t="shared" si="224"/>
        <v>350.77</v>
      </c>
      <c r="AE161" s="330">
        <f t="shared" si="221"/>
        <v>3962.9</v>
      </c>
      <c r="AF161" s="404" t="s">
        <v>252</v>
      </c>
      <c r="AG161" s="539"/>
      <c r="AH161" s="540"/>
      <c r="AI161" s="372"/>
    </row>
    <row r="162" spans="1:36" s="166" customFormat="1" ht="40.15" customHeight="1" x14ac:dyDescent="0.2">
      <c r="B162" s="435">
        <v>54</v>
      </c>
      <c r="C162" s="341" t="s">
        <v>187</v>
      </c>
      <c r="D162" s="225" t="s">
        <v>134</v>
      </c>
      <c r="E162" s="436">
        <v>358.24</v>
      </c>
      <c r="F162" s="330">
        <v>5373.67</v>
      </c>
      <c r="G162" s="436">
        <v>7</v>
      </c>
      <c r="H162" s="436">
        <f t="shared" ref="H162" si="258">G162</f>
        <v>7</v>
      </c>
      <c r="I162" s="436">
        <v>0</v>
      </c>
      <c r="J162" s="436">
        <v>0</v>
      </c>
      <c r="K162" s="436"/>
      <c r="L162" s="436"/>
      <c r="M162" s="330">
        <f t="shared" si="223"/>
        <v>5373.67</v>
      </c>
      <c r="N162" s="330"/>
      <c r="O162" s="330">
        <f t="shared" ref="O162" si="259">IF(E162=47.16,0,IF(E162&gt;47.16,J162*0.5,0))</f>
        <v>0</v>
      </c>
      <c r="P162" s="330">
        <f t="shared" ref="P162" si="260">F162+G162+H162+K162+O162+I162</f>
        <v>5387.67</v>
      </c>
      <c r="Q162" s="330">
        <f t="shared" ref="Q162" si="261">VLOOKUP(P162,Tarifa1,1)</f>
        <v>2962.9549999999999</v>
      </c>
      <c r="R162" s="330">
        <f t="shared" ref="R162" si="262">P162-Q162</f>
        <v>2424.7150000000001</v>
      </c>
      <c r="S162" s="330">
        <f t="shared" ref="S162" si="263">VLOOKUP(P162,Tarifa1,3)</f>
        <v>0.21360000000000001</v>
      </c>
      <c r="T162" s="330">
        <f t="shared" ref="T162" si="264">R162*S162</f>
        <v>517.91912400000001</v>
      </c>
      <c r="U162" s="330">
        <f t="shared" ref="U162" si="265">VLOOKUP(P162,Tarifa1,2)</f>
        <v>313.8</v>
      </c>
      <c r="V162" s="330">
        <f t="shared" ref="V162" si="266">T162+U162</f>
        <v>831.71912399999997</v>
      </c>
      <c r="W162" s="330">
        <f t="shared" ref="W162" si="267">VLOOKUP(P162,Credito1,2)</f>
        <v>0</v>
      </c>
      <c r="X162" s="330">
        <f t="shared" ref="X162" si="268">V162-W162</f>
        <v>831.71912399999997</v>
      </c>
      <c r="Y162" s="330"/>
      <c r="Z162" s="330"/>
      <c r="AA162" s="330">
        <v>528.54999999999995</v>
      </c>
      <c r="AB162" s="330"/>
      <c r="AC162" s="330"/>
      <c r="AD162" s="330">
        <f t="shared" si="224"/>
        <v>528.54999999999995</v>
      </c>
      <c r="AE162" s="330">
        <f t="shared" si="221"/>
        <v>4845.12</v>
      </c>
      <c r="AF162" s="404" t="s">
        <v>252</v>
      </c>
      <c r="AG162" s="539"/>
      <c r="AH162" s="540"/>
      <c r="AI162" s="372"/>
    </row>
    <row r="163" spans="1:36" s="166" customFormat="1" ht="45.6" customHeight="1" x14ac:dyDescent="0.2">
      <c r="B163" s="468">
        <v>55</v>
      </c>
      <c r="C163" s="341" t="s">
        <v>140</v>
      </c>
      <c r="D163" s="180" t="s">
        <v>89</v>
      </c>
      <c r="E163" s="436">
        <v>367.56</v>
      </c>
      <c r="F163" s="330">
        <v>5513.36</v>
      </c>
      <c r="G163" s="436"/>
      <c r="H163" s="436"/>
      <c r="I163" s="436"/>
      <c r="J163" s="436"/>
      <c r="K163" s="436"/>
      <c r="L163" s="436"/>
      <c r="M163" s="330">
        <f t="shared" si="223"/>
        <v>5513.36</v>
      </c>
      <c r="N163" s="330"/>
      <c r="O163" s="330">
        <f t="shared" si="248"/>
        <v>0</v>
      </c>
      <c r="P163" s="330">
        <f t="shared" si="249"/>
        <v>5513.36</v>
      </c>
      <c r="Q163" s="330">
        <f t="shared" si="250"/>
        <v>2962.9549999999999</v>
      </c>
      <c r="R163" s="330">
        <f t="shared" si="251"/>
        <v>2550.4049999999997</v>
      </c>
      <c r="S163" s="330">
        <f t="shared" si="252"/>
        <v>0.21360000000000001</v>
      </c>
      <c r="T163" s="330">
        <f t="shared" si="253"/>
        <v>544.76650799999993</v>
      </c>
      <c r="U163" s="330">
        <f t="shared" si="254"/>
        <v>313.8</v>
      </c>
      <c r="V163" s="330">
        <f t="shared" si="255"/>
        <v>858.56650799999989</v>
      </c>
      <c r="W163" s="330">
        <f t="shared" si="256"/>
        <v>0</v>
      </c>
      <c r="X163" s="330">
        <f t="shared" si="257"/>
        <v>858.56650799999989</v>
      </c>
      <c r="Y163" s="330"/>
      <c r="Z163" s="330"/>
      <c r="AA163" s="330">
        <v>553.58000000000004</v>
      </c>
      <c r="AB163" s="330"/>
      <c r="AC163" s="330"/>
      <c r="AD163" s="330">
        <f t="shared" si="224"/>
        <v>553.58000000000004</v>
      </c>
      <c r="AE163" s="330">
        <f t="shared" si="221"/>
        <v>4959.78</v>
      </c>
      <c r="AF163" s="404" t="s">
        <v>253</v>
      </c>
      <c r="AG163" s="539"/>
      <c r="AH163" s="540"/>
      <c r="AI163" s="372"/>
    </row>
    <row r="164" spans="1:36" s="166" customFormat="1" ht="51" customHeight="1" x14ac:dyDescent="0.2">
      <c r="B164" s="435">
        <v>56</v>
      </c>
      <c r="C164" s="341" t="s">
        <v>141</v>
      </c>
      <c r="D164" s="180" t="s">
        <v>142</v>
      </c>
      <c r="E164" s="436">
        <v>358.56</v>
      </c>
      <c r="F164" s="330">
        <v>5378.47</v>
      </c>
      <c r="G164" s="436">
        <v>7</v>
      </c>
      <c r="H164" s="436">
        <f t="shared" ref="H164" si="269">G164</f>
        <v>7</v>
      </c>
      <c r="I164" s="436">
        <v>0</v>
      </c>
      <c r="J164" s="436">
        <v>0</v>
      </c>
      <c r="K164" s="436"/>
      <c r="L164" s="436"/>
      <c r="M164" s="330">
        <f t="shared" si="223"/>
        <v>5378.47</v>
      </c>
      <c r="N164" s="330"/>
      <c r="O164" s="330">
        <f t="shared" ref="O164" si="270">IF(E164=47.16,0,IF(E164&gt;47.16,J164*0.5,0))</f>
        <v>0</v>
      </c>
      <c r="P164" s="330">
        <f t="shared" ref="P164" si="271">F164+G164+H164+K164+O164+I164</f>
        <v>5392.47</v>
      </c>
      <c r="Q164" s="330">
        <f t="shared" ref="Q164" si="272">VLOOKUP(P164,Tarifa1,1)</f>
        <v>2962.9549999999999</v>
      </c>
      <c r="R164" s="330">
        <f t="shared" ref="R164" si="273">P164-Q164</f>
        <v>2429.5150000000003</v>
      </c>
      <c r="S164" s="330">
        <f t="shared" ref="S164" si="274">VLOOKUP(P164,Tarifa1,3)</f>
        <v>0.21360000000000001</v>
      </c>
      <c r="T164" s="330">
        <f t="shared" ref="T164" si="275">R164*S164</f>
        <v>518.94440400000008</v>
      </c>
      <c r="U164" s="330">
        <f t="shared" ref="U164" si="276">VLOOKUP(P164,Tarifa1,2)</f>
        <v>313.8</v>
      </c>
      <c r="V164" s="330">
        <f t="shared" ref="V164" si="277">T164+U164</f>
        <v>832.74440400000003</v>
      </c>
      <c r="W164" s="330">
        <f t="shared" ref="W164" si="278">VLOOKUP(P164,Credito1,2)</f>
        <v>0</v>
      </c>
      <c r="X164" s="330">
        <f t="shared" ref="X164" si="279">V164-W164</f>
        <v>832.74440400000003</v>
      </c>
      <c r="Y164" s="330"/>
      <c r="Z164" s="330"/>
      <c r="AA164" s="330">
        <v>529.41</v>
      </c>
      <c r="AB164" s="330"/>
      <c r="AC164" s="330"/>
      <c r="AD164" s="330">
        <f t="shared" si="224"/>
        <v>529.41</v>
      </c>
      <c r="AE164" s="330">
        <f t="shared" si="221"/>
        <v>4849.0600000000004</v>
      </c>
      <c r="AF164" s="404" t="s">
        <v>252</v>
      </c>
      <c r="AG164" s="539"/>
      <c r="AH164" s="540"/>
      <c r="AI164" s="372"/>
    </row>
    <row r="165" spans="1:36" s="166" customFormat="1" ht="51" customHeight="1" x14ac:dyDescent="0.2">
      <c r="B165" s="435"/>
      <c r="C165" s="341"/>
      <c r="D165" s="180"/>
      <c r="E165" s="436"/>
      <c r="F165" s="330"/>
      <c r="G165" s="436"/>
      <c r="H165" s="436"/>
      <c r="I165" s="436"/>
      <c r="J165" s="436"/>
      <c r="K165" s="436"/>
      <c r="L165" s="436"/>
      <c r="M165" s="330"/>
      <c r="N165" s="330"/>
      <c r="O165" s="330"/>
      <c r="P165" s="330"/>
      <c r="Q165" s="330"/>
      <c r="R165" s="330"/>
      <c r="S165" s="330"/>
      <c r="T165" s="330"/>
      <c r="U165" s="330"/>
      <c r="V165" s="330"/>
      <c r="W165" s="330"/>
      <c r="X165" s="330"/>
      <c r="Y165" s="330"/>
      <c r="Z165" s="330"/>
      <c r="AA165" s="330"/>
      <c r="AB165" s="330"/>
      <c r="AC165" s="330"/>
      <c r="AD165" s="330"/>
      <c r="AE165" s="330"/>
      <c r="AF165" s="404"/>
      <c r="AG165" s="539"/>
      <c r="AH165" s="540"/>
      <c r="AI165" s="372"/>
    </row>
    <row r="166" spans="1:36" s="166" customFormat="1" ht="39" customHeight="1" x14ac:dyDescent="0.2">
      <c r="B166" s="435"/>
      <c r="C166" s="455" t="s">
        <v>143</v>
      </c>
      <c r="D166" s="225"/>
      <c r="E166" s="436"/>
      <c r="F166" s="330"/>
      <c r="G166" s="436">
        <v>6</v>
      </c>
      <c r="H166" s="436">
        <f t="shared" si="222"/>
        <v>6</v>
      </c>
      <c r="I166" s="436">
        <v>0</v>
      </c>
      <c r="J166" s="436">
        <v>0</v>
      </c>
      <c r="K166" s="436"/>
      <c r="L166" s="436"/>
      <c r="M166" s="330"/>
      <c r="N166" s="330"/>
      <c r="O166" s="330">
        <f t="shared" si="210"/>
        <v>0</v>
      </c>
      <c r="P166" s="330">
        <f t="shared" si="211"/>
        <v>12</v>
      </c>
      <c r="Q166" s="330">
        <f t="shared" si="212"/>
        <v>0.01</v>
      </c>
      <c r="R166" s="330">
        <f t="shared" si="213"/>
        <v>11.99</v>
      </c>
      <c r="S166" s="330">
        <f t="shared" si="214"/>
        <v>1.9199999999999998E-2</v>
      </c>
      <c r="T166" s="330">
        <f t="shared" si="215"/>
        <v>0.230208</v>
      </c>
      <c r="U166" s="330">
        <f t="shared" si="216"/>
        <v>0</v>
      </c>
      <c r="V166" s="330">
        <f t="shared" si="217"/>
        <v>0.230208</v>
      </c>
      <c r="W166" s="330">
        <f t="shared" si="218"/>
        <v>100.425</v>
      </c>
      <c r="X166" s="330">
        <f t="shared" si="219"/>
        <v>-100.19479199999999</v>
      </c>
      <c r="Y166" s="330"/>
      <c r="Z166" s="330"/>
      <c r="AA166" s="330"/>
      <c r="AB166" s="330"/>
      <c r="AC166" s="330"/>
      <c r="AD166" s="330"/>
      <c r="AE166" s="330"/>
      <c r="AF166" s="346"/>
      <c r="AG166" s="539"/>
      <c r="AH166" s="540"/>
      <c r="AI166" s="372"/>
    </row>
    <row r="167" spans="1:36" s="166" customFormat="1" ht="35.25" customHeight="1" x14ac:dyDescent="0.2">
      <c r="B167" s="435">
        <v>57</v>
      </c>
      <c r="C167" s="341" t="s">
        <v>144</v>
      </c>
      <c r="D167" s="180" t="s">
        <v>145</v>
      </c>
      <c r="E167" s="436">
        <v>385.49</v>
      </c>
      <c r="F167" s="330">
        <v>5786.91</v>
      </c>
      <c r="G167" s="436">
        <v>7</v>
      </c>
      <c r="H167" s="436">
        <f t="shared" si="222"/>
        <v>7</v>
      </c>
      <c r="I167" s="436">
        <v>0</v>
      </c>
      <c r="J167" s="436">
        <v>0</v>
      </c>
      <c r="K167" s="436"/>
      <c r="L167" s="436"/>
      <c r="M167" s="330">
        <f>F167+L167+Z167</f>
        <v>5786.91</v>
      </c>
      <c r="N167" s="330"/>
      <c r="O167" s="330">
        <f t="shared" ref="O167:O193" si="280">IF(E167=47.16,0,IF(E167&gt;47.16,J167*0.5,0))</f>
        <v>0</v>
      </c>
      <c r="P167" s="330">
        <f t="shared" ref="P167:P193" si="281">F167+G167+H167+K167+O167+I167</f>
        <v>5800.91</v>
      </c>
      <c r="Q167" s="330">
        <f t="shared" ref="Q167:Q193" si="282">VLOOKUP(P167,Tarifa1,1)</f>
        <v>2962.9549999999999</v>
      </c>
      <c r="R167" s="330">
        <f t="shared" ref="R167:R193" si="283">P167-Q167</f>
        <v>2837.9549999999999</v>
      </c>
      <c r="S167" s="330">
        <f t="shared" ref="S167:S193" si="284">VLOOKUP(P167,Tarifa1,3)</f>
        <v>0.21360000000000001</v>
      </c>
      <c r="T167" s="330">
        <f t="shared" ref="T167:T193" si="285">R167*S167</f>
        <v>606.18718799999999</v>
      </c>
      <c r="U167" s="330">
        <f t="shared" ref="U167:U193" si="286">VLOOKUP(P167,Tarifa1,2)</f>
        <v>313.8</v>
      </c>
      <c r="V167" s="330">
        <f t="shared" ref="V167:V193" si="287">T167+U167</f>
        <v>919.98718800000006</v>
      </c>
      <c r="W167" s="330">
        <f t="shared" ref="W167:W193" si="288">VLOOKUP(P167,Credito1,2)</f>
        <v>0</v>
      </c>
      <c r="X167" s="330">
        <f t="shared" ref="X167:X193" si="289">V167-W167</f>
        <v>919.98718800000006</v>
      </c>
      <c r="Y167" s="330"/>
      <c r="Z167" s="330"/>
      <c r="AA167" s="330">
        <v>602.6</v>
      </c>
      <c r="AB167" s="330"/>
      <c r="AC167" s="330"/>
      <c r="AD167" s="330">
        <f t="shared" si="224"/>
        <v>602.6</v>
      </c>
      <c r="AE167" s="330">
        <f t="shared" si="221"/>
        <v>5184.3099999999995</v>
      </c>
      <c r="AF167" s="404" t="s">
        <v>252</v>
      </c>
      <c r="AG167" s="539"/>
      <c r="AH167" s="540"/>
      <c r="AI167" s="372"/>
    </row>
    <row r="168" spans="1:36" s="166" customFormat="1" ht="30.75" customHeight="1" x14ac:dyDescent="0.2">
      <c r="B168" s="435">
        <v>58</v>
      </c>
      <c r="C168" s="341" t="s">
        <v>146</v>
      </c>
      <c r="D168" s="180" t="s">
        <v>147</v>
      </c>
      <c r="E168" s="436">
        <v>284.64999999999998</v>
      </c>
      <c r="F168" s="330">
        <v>4269.71</v>
      </c>
      <c r="G168" s="436">
        <v>7</v>
      </c>
      <c r="H168" s="436">
        <f t="shared" ref="H168" si="290">G168</f>
        <v>7</v>
      </c>
      <c r="I168" s="436">
        <v>0</v>
      </c>
      <c r="J168" s="436">
        <v>0</v>
      </c>
      <c r="K168" s="436"/>
      <c r="L168" s="436"/>
      <c r="M168" s="330">
        <f>F168+L168+Z168</f>
        <v>4269.71</v>
      </c>
      <c r="N168" s="330"/>
      <c r="O168" s="330">
        <f t="shared" ref="O168" si="291">IF(E168=47.16,0,IF(E168&gt;47.16,J168*0.5,0))</f>
        <v>0</v>
      </c>
      <c r="P168" s="330">
        <f t="shared" ref="P168" si="292">F168+G168+H168+K168+O168+I168</f>
        <v>4283.71</v>
      </c>
      <c r="Q168" s="330">
        <f t="shared" ref="Q168" si="293">VLOOKUP(P168,Tarifa1,1)</f>
        <v>2962.9549999999999</v>
      </c>
      <c r="R168" s="330">
        <f t="shared" ref="R168" si="294">P168-Q168</f>
        <v>1320.7550000000001</v>
      </c>
      <c r="S168" s="330">
        <f t="shared" ref="S168" si="295">VLOOKUP(P168,Tarifa1,3)</f>
        <v>0.21360000000000001</v>
      </c>
      <c r="T168" s="330">
        <f t="shared" ref="T168" si="296">R168*S168</f>
        <v>282.11326800000006</v>
      </c>
      <c r="U168" s="330">
        <f t="shared" ref="U168" si="297">VLOOKUP(P168,Tarifa1,2)</f>
        <v>313.8</v>
      </c>
      <c r="V168" s="330">
        <f t="shared" ref="V168" si="298">T168+U168</f>
        <v>595.91326800000002</v>
      </c>
      <c r="W168" s="330">
        <f t="shared" ref="W168" si="299">VLOOKUP(P168,Credito1,2)</f>
        <v>0</v>
      </c>
      <c r="X168" s="330">
        <f t="shared" ref="X168" si="300">V168-W168</f>
        <v>595.91326800000002</v>
      </c>
      <c r="Y168" s="330"/>
      <c r="Z168" s="330"/>
      <c r="AA168" s="330">
        <v>343.74</v>
      </c>
      <c r="AB168" s="330"/>
      <c r="AC168" s="330"/>
      <c r="AD168" s="330">
        <f t="shared" si="224"/>
        <v>343.74</v>
      </c>
      <c r="AE168" s="330">
        <f t="shared" si="221"/>
        <v>3925.9700000000003</v>
      </c>
      <c r="AF168" s="404" t="s">
        <v>252</v>
      </c>
      <c r="AG168" s="539"/>
      <c r="AH168" s="540"/>
      <c r="AI168" s="372"/>
    </row>
    <row r="169" spans="1:36" s="166" customFormat="1" ht="25.9" customHeight="1" x14ac:dyDescent="0.2">
      <c r="B169" s="435"/>
      <c r="C169" s="455" t="s">
        <v>148</v>
      </c>
      <c r="D169" s="180"/>
      <c r="E169" s="436"/>
      <c r="F169" s="330"/>
      <c r="G169" s="436">
        <v>9</v>
      </c>
      <c r="H169" s="436">
        <f t="shared" si="222"/>
        <v>9</v>
      </c>
      <c r="I169" s="436">
        <v>0</v>
      </c>
      <c r="J169" s="436">
        <v>0</v>
      </c>
      <c r="K169" s="436"/>
      <c r="L169" s="436"/>
      <c r="M169" s="330"/>
      <c r="N169" s="330"/>
      <c r="O169" s="330">
        <f t="shared" si="280"/>
        <v>0</v>
      </c>
      <c r="P169" s="330">
        <f t="shared" si="281"/>
        <v>18</v>
      </c>
      <c r="Q169" s="330">
        <f t="shared" si="282"/>
        <v>0.01</v>
      </c>
      <c r="R169" s="330">
        <f t="shared" si="283"/>
        <v>17.989999999999998</v>
      </c>
      <c r="S169" s="330">
        <f t="shared" si="284"/>
        <v>1.9199999999999998E-2</v>
      </c>
      <c r="T169" s="330">
        <f t="shared" si="285"/>
        <v>0.34540799999999994</v>
      </c>
      <c r="U169" s="330">
        <f t="shared" si="286"/>
        <v>0</v>
      </c>
      <c r="V169" s="330">
        <f t="shared" si="287"/>
        <v>0.34540799999999994</v>
      </c>
      <c r="W169" s="330">
        <f t="shared" si="288"/>
        <v>100.425</v>
      </c>
      <c r="X169" s="330">
        <f t="shared" si="289"/>
        <v>-100.07959199999999</v>
      </c>
      <c r="Y169" s="330"/>
      <c r="Z169" s="330"/>
      <c r="AA169" s="330"/>
      <c r="AB169" s="330"/>
      <c r="AC169" s="330"/>
      <c r="AD169" s="330"/>
      <c r="AE169" s="330"/>
      <c r="AF169" s="404"/>
      <c r="AG169" s="539"/>
      <c r="AH169" s="540"/>
      <c r="AI169" s="372"/>
    </row>
    <row r="170" spans="1:36" s="166" customFormat="1" ht="39.6" customHeight="1" x14ac:dyDescent="0.2">
      <c r="B170" s="435">
        <v>59</v>
      </c>
      <c r="C170" s="342" t="s">
        <v>149</v>
      </c>
      <c r="D170" s="180" t="s">
        <v>150</v>
      </c>
      <c r="E170" s="436">
        <v>629.57000000000005</v>
      </c>
      <c r="F170" s="330">
        <v>9443.5400000000009</v>
      </c>
      <c r="G170" s="436">
        <v>0</v>
      </c>
      <c r="H170" s="436">
        <f t="shared" ref="H170" si="301">G170</f>
        <v>0</v>
      </c>
      <c r="I170" s="436">
        <v>0</v>
      </c>
      <c r="J170" s="436">
        <v>0</v>
      </c>
      <c r="K170" s="436"/>
      <c r="L170" s="436"/>
      <c r="M170" s="330">
        <f t="shared" ref="M170" si="302">F170+L170+Z170</f>
        <v>9443.5400000000009</v>
      </c>
      <c r="N170" s="330"/>
      <c r="O170" s="330">
        <f t="shared" ref="O170" si="303">IF(E170=47.16,0,IF(E170&gt;47.16,J170*0.5,0))</f>
        <v>0</v>
      </c>
      <c r="P170" s="330">
        <f t="shared" ref="P170" si="304">F170+G170+H170+K170+O170+I170</f>
        <v>9443.5400000000009</v>
      </c>
      <c r="Q170" s="330">
        <f t="shared" ref="Q170" si="305">VLOOKUP(P170,Tarifa1,1)</f>
        <v>9418.8799999999992</v>
      </c>
      <c r="R170" s="330">
        <f t="shared" ref="R170" si="306">P170-Q170</f>
        <v>24.660000000001673</v>
      </c>
      <c r="S170" s="330">
        <f t="shared" ref="S170" si="307">VLOOKUP(P170,Tarifa1,3)</f>
        <v>0.3</v>
      </c>
      <c r="T170" s="330">
        <f t="shared" ref="T170" si="308">R170*S170</f>
        <v>7.3980000000005015</v>
      </c>
      <c r="U170" s="330">
        <f t="shared" ref="U170" si="309">VLOOKUP(P170,Tarifa1,2)</f>
        <v>1767.15</v>
      </c>
      <c r="V170" s="330">
        <f t="shared" ref="V170" si="310">T170+U170</f>
        <v>1774.5480000000007</v>
      </c>
      <c r="W170" s="330">
        <f t="shared" ref="W170" si="311">VLOOKUP(P170,Credito1,2)</f>
        <v>0</v>
      </c>
      <c r="X170" s="330">
        <f t="shared" ref="X170" si="312">V170-W170</f>
        <v>1774.5480000000007</v>
      </c>
      <c r="Y170" s="330"/>
      <c r="Z170" s="330"/>
      <c r="AA170" s="330">
        <v>1378.97</v>
      </c>
      <c r="AB170" s="330"/>
      <c r="AC170" s="330"/>
      <c r="AD170" s="330">
        <f t="shared" si="224"/>
        <v>1378.97</v>
      </c>
      <c r="AE170" s="330">
        <f t="shared" si="221"/>
        <v>8064.5700000000006</v>
      </c>
      <c r="AF170" s="404" t="s">
        <v>252</v>
      </c>
      <c r="AG170" s="539"/>
      <c r="AH170" s="540"/>
      <c r="AI170" s="372"/>
    </row>
    <row r="171" spans="1:36" s="166" customFormat="1" ht="7.15" customHeight="1" x14ac:dyDescent="0.2">
      <c r="B171" s="435"/>
      <c r="C171" s="225"/>
      <c r="D171" s="225"/>
      <c r="E171" s="436"/>
      <c r="F171" s="330"/>
      <c r="G171" s="436"/>
      <c r="H171" s="436"/>
      <c r="I171" s="436"/>
      <c r="J171" s="436"/>
      <c r="K171" s="436"/>
      <c r="L171" s="436"/>
      <c r="M171" s="330"/>
      <c r="N171" s="330"/>
      <c r="O171" s="330"/>
      <c r="P171" s="330"/>
      <c r="Q171" s="330"/>
      <c r="R171" s="330"/>
      <c r="S171" s="330"/>
      <c r="T171" s="330"/>
      <c r="U171" s="330"/>
      <c r="V171" s="330"/>
      <c r="W171" s="330"/>
      <c r="X171" s="330"/>
      <c r="Y171" s="330"/>
      <c r="Z171" s="330"/>
      <c r="AA171" s="330"/>
      <c r="AB171" s="330"/>
      <c r="AC171" s="330"/>
      <c r="AD171" s="330"/>
      <c r="AE171" s="330"/>
      <c r="AF171" s="346"/>
      <c r="AG171" s="439"/>
      <c r="AH171" s="439"/>
      <c r="AI171" s="372"/>
    </row>
    <row r="172" spans="1:36" s="348" customFormat="1" ht="44.25" customHeight="1" thickBot="1" x14ac:dyDescent="0.25">
      <c r="A172" s="351"/>
      <c r="B172" s="373"/>
      <c r="C172" s="443" t="s">
        <v>60</v>
      </c>
      <c r="D172" s="443"/>
      <c r="E172" s="444"/>
      <c r="F172" s="445">
        <f>F148+F149+F150+F151+F152+F153+F154+F156+F158+F159+F160+F161+F162+F163+F164+F167+F168+F170</f>
        <v>89348.25</v>
      </c>
      <c r="G172" s="444">
        <f>SUM(G140:G171)</f>
        <v>116</v>
      </c>
      <c r="H172" s="444">
        <f>SUM(H140:H171)</f>
        <v>116</v>
      </c>
      <c r="I172" s="444">
        <f>SUM(I140:I171)</f>
        <v>0</v>
      </c>
      <c r="J172" s="444">
        <f>SUM(J140:J171)</f>
        <v>0</v>
      </c>
      <c r="K172" s="444">
        <f>SUM(K140:K171)</f>
        <v>0</v>
      </c>
      <c r="L172" s="444"/>
      <c r="M172" s="445">
        <f>F172</f>
        <v>89348.25</v>
      </c>
      <c r="N172" s="444">
        <f t="shared" ref="N172:Y172" si="313">SUM(N148:N170)</f>
        <v>0</v>
      </c>
      <c r="O172" s="444">
        <f t="shared" si="313"/>
        <v>0</v>
      </c>
      <c r="P172" s="444">
        <f t="shared" si="313"/>
        <v>98189.59</v>
      </c>
      <c r="Q172" s="444">
        <f t="shared" si="313"/>
        <v>68239.84500000003</v>
      </c>
      <c r="R172" s="444">
        <f t="shared" si="313"/>
        <v>29949.745000000003</v>
      </c>
      <c r="S172" s="444">
        <f t="shared" si="313"/>
        <v>4.3839999999999995</v>
      </c>
      <c r="T172" s="444">
        <f t="shared" si="313"/>
        <v>6390.5359879999996</v>
      </c>
      <c r="U172" s="444">
        <f t="shared" si="313"/>
        <v>8285.4000000000033</v>
      </c>
      <c r="V172" s="444">
        <f t="shared" si="313"/>
        <v>14675.935988000001</v>
      </c>
      <c r="W172" s="444">
        <f t="shared" si="313"/>
        <v>200.85</v>
      </c>
      <c r="X172" s="444">
        <f t="shared" si="313"/>
        <v>14475.085988000003</v>
      </c>
      <c r="Y172" s="444">
        <f t="shared" si="313"/>
        <v>0</v>
      </c>
      <c r="Z172" s="444"/>
      <c r="AA172" s="445">
        <v>7686.16</v>
      </c>
      <c r="AB172" s="444">
        <f>SUM(AB148:AB170)</f>
        <v>0</v>
      </c>
      <c r="AC172" s="444"/>
      <c r="AD172" s="464">
        <v>7686.16</v>
      </c>
      <c r="AE172" s="387">
        <f>AE148+AE149+AE150+AE151+AE152+AE153+AE154+AE156+AE158+AE159+AE160+AE161+AE162+AE163+AE164+AE167+AE168+AE170</f>
        <v>80813.080000000016</v>
      </c>
      <c r="AF172" s="447"/>
      <c r="AG172" s="374"/>
      <c r="AH172" s="374"/>
      <c r="AI172" s="380"/>
      <c r="AJ172" s="351"/>
    </row>
    <row r="173" spans="1:36" s="166" customFormat="1" ht="25.15" hidden="1" customHeight="1" x14ac:dyDescent="0.2">
      <c r="B173" s="182"/>
      <c r="C173" s="322"/>
      <c r="D173" s="322"/>
      <c r="E173" s="177"/>
      <c r="F173" s="323"/>
      <c r="G173" s="169"/>
      <c r="H173" s="169"/>
      <c r="I173" s="169"/>
      <c r="J173" s="169"/>
      <c r="K173" s="169"/>
      <c r="L173" s="169"/>
      <c r="M173" s="324"/>
      <c r="N173" s="165"/>
      <c r="O173" s="177"/>
      <c r="P173" s="325"/>
      <c r="Q173" s="323"/>
      <c r="R173" s="169"/>
      <c r="S173" s="169"/>
      <c r="T173" s="169"/>
      <c r="U173" s="169"/>
      <c r="V173" s="324"/>
      <c r="W173" s="177"/>
      <c r="X173" s="177"/>
      <c r="Y173" s="165"/>
      <c r="Z173" s="177"/>
      <c r="AA173" s="323"/>
      <c r="AB173" s="169"/>
      <c r="AC173" s="169"/>
      <c r="AD173" s="324"/>
      <c r="AE173" s="177"/>
      <c r="AF173" s="352"/>
      <c r="AG173" s="167"/>
      <c r="AH173" s="167"/>
      <c r="AI173" s="178"/>
    </row>
    <row r="174" spans="1:36" s="166" customFormat="1" ht="25.15" hidden="1" customHeight="1" x14ac:dyDescent="0.2">
      <c r="B174" s="182"/>
      <c r="C174" s="183"/>
      <c r="D174" s="183"/>
      <c r="E174" s="184"/>
      <c r="F174" s="185"/>
      <c r="G174" s="186"/>
      <c r="H174" s="186"/>
      <c r="I174" s="186"/>
      <c r="J174" s="186"/>
      <c r="K174" s="186"/>
      <c r="L174" s="186"/>
      <c r="M174" s="187"/>
      <c r="N174" s="188"/>
      <c r="O174" s="184"/>
      <c r="P174" s="181"/>
      <c r="Q174" s="185"/>
      <c r="R174" s="186"/>
      <c r="S174" s="186"/>
      <c r="T174" s="186"/>
      <c r="U174" s="186"/>
      <c r="V174" s="187"/>
      <c r="W174" s="184"/>
      <c r="X174" s="184"/>
      <c r="Y174" s="188"/>
      <c r="Z174" s="184"/>
      <c r="AA174" s="185"/>
      <c r="AB174" s="186"/>
      <c r="AC174" s="186"/>
      <c r="AD174" s="187"/>
      <c r="AE174" s="184"/>
      <c r="AF174" s="352"/>
      <c r="AG174" s="167"/>
      <c r="AH174" s="167"/>
      <c r="AI174" s="178"/>
    </row>
    <row r="175" spans="1:36" s="166" customFormat="1" ht="25.15" hidden="1" customHeight="1" x14ac:dyDescent="0.2">
      <c r="B175" s="182"/>
      <c r="C175" s="183"/>
      <c r="D175" s="183"/>
      <c r="E175" s="184"/>
      <c r="F175" s="185"/>
      <c r="G175" s="186"/>
      <c r="H175" s="186"/>
      <c r="I175" s="186"/>
      <c r="J175" s="186"/>
      <c r="K175" s="186"/>
      <c r="L175" s="186"/>
      <c r="M175" s="187"/>
      <c r="N175" s="188"/>
      <c r="O175" s="184"/>
      <c r="P175" s="181"/>
      <c r="Q175" s="185"/>
      <c r="R175" s="186"/>
      <c r="S175" s="186"/>
      <c r="T175" s="186"/>
      <c r="U175" s="186"/>
      <c r="V175" s="187"/>
      <c r="W175" s="184"/>
      <c r="X175" s="184"/>
      <c r="Y175" s="188"/>
      <c r="Z175" s="184"/>
      <c r="AA175" s="185"/>
      <c r="AB175" s="186"/>
      <c r="AC175" s="186"/>
      <c r="AD175" s="187"/>
      <c r="AE175" s="184"/>
      <c r="AF175" s="352"/>
      <c r="AG175" s="167"/>
      <c r="AH175" s="167"/>
      <c r="AI175" s="178"/>
    </row>
    <row r="176" spans="1:36" s="166" customFormat="1" ht="25.15" hidden="1" customHeight="1" x14ac:dyDescent="0.2">
      <c r="B176" s="327"/>
      <c r="C176" s="161"/>
      <c r="D176" s="161"/>
      <c r="E176" s="181"/>
      <c r="F176" s="185"/>
      <c r="G176" s="186"/>
      <c r="H176" s="186"/>
      <c r="I176" s="186"/>
      <c r="J176" s="186"/>
      <c r="K176" s="186"/>
      <c r="L176" s="186"/>
      <c r="M176" s="187"/>
      <c r="N176" s="186"/>
      <c r="O176" s="181"/>
      <c r="P176" s="181"/>
      <c r="Q176" s="185"/>
      <c r="R176" s="186"/>
      <c r="S176" s="186"/>
      <c r="T176" s="186"/>
      <c r="U176" s="186"/>
      <c r="V176" s="187"/>
      <c r="W176" s="181"/>
      <c r="X176" s="181"/>
      <c r="Y176" s="186"/>
      <c r="Z176" s="181"/>
      <c r="AA176" s="185"/>
      <c r="AB176" s="186"/>
      <c r="AC176" s="186"/>
      <c r="AD176" s="187"/>
      <c r="AE176" s="181"/>
      <c r="AF176" s="352"/>
      <c r="AG176" s="167"/>
      <c r="AH176" s="167"/>
      <c r="AI176" s="178"/>
    </row>
    <row r="177" spans="1:35" s="166" customFormat="1" ht="12" hidden="1" customHeight="1" x14ac:dyDescent="0.2">
      <c r="B177" s="164"/>
      <c r="C177" s="326"/>
      <c r="D177" s="326"/>
      <c r="E177" s="165"/>
      <c r="F177" s="165"/>
      <c r="G177" s="165"/>
      <c r="H177" s="165"/>
      <c r="I177" s="165"/>
      <c r="J177" s="165"/>
      <c r="K177" s="165"/>
      <c r="L177" s="165"/>
      <c r="M177" s="165"/>
      <c r="N177" s="165"/>
      <c r="O177" s="165"/>
      <c r="P177" s="165"/>
      <c r="Q177" s="165"/>
      <c r="R177" s="165"/>
      <c r="S177" s="165"/>
      <c r="T177" s="165"/>
      <c r="U177" s="165"/>
      <c r="V177" s="165"/>
      <c r="W177" s="165"/>
      <c r="X177" s="165"/>
      <c r="Y177" s="165"/>
      <c r="Z177" s="165"/>
      <c r="AA177" s="165"/>
      <c r="AB177" s="165"/>
      <c r="AC177" s="165"/>
      <c r="AD177" s="165"/>
      <c r="AE177" s="165"/>
      <c r="AF177" s="227"/>
      <c r="AG177" s="167"/>
      <c r="AH177" s="167"/>
      <c r="AI177" s="178"/>
    </row>
    <row r="178" spans="1:35" s="166" customFormat="1" ht="25.15" hidden="1" customHeight="1" x14ac:dyDescent="0.2">
      <c r="B178" s="164"/>
      <c r="C178" s="326"/>
      <c r="D178" s="326"/>
      <c r="E178" s="165"/>
      <c r="F178" s="165"/>
      <c r="G178" s="165"/>
      <c r="H178" s="165"/>
      <c r="I178" s="165"/>
      <c r="J178" s="165"/>
      <c r="K178" s="165"/>
      <c r="L178" s="165"/>
      <c r="M178" s="165"/>
      <c r="N178" s="165"/>
      <c r="O178" s="165"/>
      <c r="P178" s="165"/>
      <c r="Q178" s="165"/>
      <c r="R178" s="165"/>
      <c r="S178" s="165"/>
      <c r="T178" s="165"/>
      <c r="U178" s="165"/>
      <c r="V178" s="165"/>
      <c r="W178" s="165"/>
      <c r="X178" s="165"/>
      <c r="Y178" s="165"/>
      <c r="Z178" s="165"/>
      <c r="AA178" s="165"/>
      <c r="AB178" s="165"/>
      <c r="AC178" s="165"/>
      <c r="AD178" s="165"/>
      <c r="AE178" s="165"/>
      <c r="AF178" s="227"/>
      <c r="AG178" s="167"/>
      <c r="AH178" s="167"/>
      <c r="AI178" s="178"/>
    </row>
    <row r="179" spans="1:35" s="166" customFormat="1" ht="25.15" hidden="1" customHeight="1" x14ac:dyDescent="0.2">
      <c r="B179" s="164"/>
      <c r="C179" s="326"/>
      <c r="D179" s="326"/>
      <c r="E179" s="165"/>
      <c r="F179" s="165"/>
      <c r="G179" s="165"/>
      <c r="H179" s="165"/>
      <c r="I179" s="165"/>
      <c r="J179" s="165"/>
      <c r="K179" s="165"/>
      <c r="L179" s="165"/>
      <c r="M179" s="165"/>
      <c r="N179" s="165"/>
      <c r="O179" s="165"/>
      <c r="P179" s="165"/>
      <c r="Q179" s="165"/>
      <c r="R179" s="165"/>
      <c r="S179" s="165"/>
      <c r="T179" s="165"/>
      <c r="U179" s="165"/>
      <c r="V179" s="165"/>
      <c r="W179" s="165"/>
      <c r="X179" s="165"/>
      <c r="Y179" s="165"/>
      <c r="Z179" s="165"/>
      <c r="AA179" s="165"/>
      <c r="AB179" s="165"/>
      <c r="AC179" s="165"/>
      <c r="AD179" s="165"/>
      <c r="AE179" s="165"/>
      <c r="AF179" s="227"/>
      <c r="AG179" s="167"/>
      <c r="AH179" s="167"/>
      <c r="AI179" s="178"/>
    </row>
    <row r="180" spans="1:35" s="166" customFormat="1" ht="118.15" hidden="1" customHeight="1" x14ac:dyDescent="0.2">
      <c r="A180" s="167"/>
      <c r="B180" s="164"/>
      <c r="C180" s="326"/>
      <c r="D180" s="326"/>
      <c r="E180" s="165"/>
      <c r="F180" s="165"/>
      <c r="G180" s="165"/>
      <c r="H180" s="165"/>
      <c r="I180" s="165"/>
      <c r="J180" s="165"/>
      <c r="K180" s="165"/>
      <c r="L180" s="165"/>
      <c r="M180" s="165"/>
      <c r="N180" s="165"/>
      <c r="O180" s="165"/>
      <c r="P180" s="165"/>
      <c r="Q180" s="165"/>
      <c r="R180" s="165"/>
      <c r="S180" s="165"/>
      <c r="T180" s="165"/>
      <c r="U180" s="165"/>
      <c r="V180" s="165"/>
      <c r="W180" s="165"/>
      <c r="X180" s="165"/>
      <c r="Y180" s="165"/>
      <c r="Z180" s="165"/>
      <c r="AA180" s="165"/>
      <c r="AB180" s="165"/>
      <c r="AC180" s="165"/>
      <c r="AD180" s="165"/>
      <c r="AE180" s="165"/>
      <c r="AF180" s="227"/>
      <c r="AG180" s="167"/>
      <c r="AH180" s="167"/>
      <c r="AI180" s="178"/>
    </row>
    <row r="181" spans="1:35" s="166" customFormat="1" ht="25.15" hidden="1" customHeight="1" x14ac:dyDescent="0.2">
      <c r="B181" s="182"/>
      <c r="C181" s="322"/>
      <c r="D181" s="322"/>
      <c r="E181" s="177"/>
      <c r="F181" s="323"/>
      <c r="G181" s="169"/>
      <c r="H181" s="169"/>
      <c r="I181" s="169"/>
      <c r="J181" s="169"/>
      <c r="K181" s="169"/>
      <c r="L181" s="169"/>
      <c r="M181" s="324"/>
      <c r="N181" s="165"/>
      <c r="O181" s="177"/>
      <c r="P181" s="325"/>
      <c r="Q181" s="323"/>
      <c r="R181" s="169"/>
      <c r="S181" s="169"/>
      <c r="T181" s="169"/>
      <c r="U181" s="169"/>
      <c r="V181" s="324"/>
      <c r="W181" s="177"/>
      <c r="X181" s="177"/>
      <c r="Y181" s="165"/>
      <c r="Z181" s="177"/>
      <c r="AA181" s="323"/>
      <c r="AB181" s="169"/>
      <c r="AC181" s="169"/>
      <c r="AD181" s="324"/>
      <c r="AE181" s="177"/>
      <c r="AF181" s="352"/>
      <c r="AG181" s="167"/>
      <c r="AH181" s="167"/>
      <c r="AI181" s="178"/>
    </row>
    <row r="182" spans="1:35" s="166" customFormat="1" ht="25.15" hidden="1" customHeight="1" x14ac:dyDescent="0.2">
      <c r="B182" s="182"/>
      <c r="C182" s="183"/>
      <c r="D182" s="183"/>
      <c r="E182" s="184"/>
      <c r="F182" s="376"/>
      <c r="G182" s="188"/>
      <c r="H182" s="188"/>
      <c r="I182" s="188"/>
      <c r="J182" s="188"/>
      <c r="K182" s="188"/>
      <c r="L182" s="188"/>
      <c r="M182" s="377"/>
      <c r="N182" s="188"/>
      <c r="O182" s="184"/>
      <c r="P182" s="184"/>
      <c r="Q182" s="376"/>
      <c r="R182" s="188"/>
      <c r="S182" s="188"/>
      <c r="T182" s="188"/>
      <c r="U182" s="188"/>
      <c r="V182" s="377"/>
      <c r="W182" s="184"/>
      <c r="X182" s="184"/>
      <c r="Y182" s="188"/>
      <c r="Z182" s="184"/>
      <c r="AA182" s="376"/>
      <c r="AB182" s="188"/>
      <c r="AC182" s="188"/>
      <c r="AD182" s="377"/>
      <c r="AE182" s="184"/>
      <c r="AF182" s="352"/>
      <c r="AG182" s="167"/>
      <c r="AH182" s="167"/>
      <c r="AI182" s="178"/>
    </row>
    <row r="183" spans="1:35" s="166" customFormat="1" ht="21.75" customHeight="1" x14ac:dyDescent="0.2">
      <c r="B183" s="563" t="s">
        <v>230</v>
      </c>
      <c r="C183" s="476"/>
      <c r="D183" s="479" t="s">
        <v>1</v>
      </c>
      <c r="E183" s="479" t="s">
        <v>2</v>
      </c>
      <c r="F183" s="552" t="s">
        <v>3</v>
      </c>
      <c r="G183" s="553"/>
      <c r="H183" s="553"/>
      <c r="I183" s="553"/>
      <c r="J183" s="553"/>
      <c r="K183" s="553"/>
      <c r="L183" s="553"/>
      <c r="M183" s="554"/>
      <c r="N183" s="480"/>
      <c r="O183" s="479" t="s">
        <v>4</v>
      </c>
      <c r="P183" s="481"/>
      <c r="Q183" s="552" t="s">
        <v>5</v>
      </c>
      <c r="R183" s="553"/>
      <c r="S183" s="553"/>
      <c r="T183" s="553"/>
      <c r="U183" s="553"/>
      <c r="V183" s="554"/>
      <c r="W183" s="479" t="s">
        <v>6</v>
      </c>
      <c r="X183" s="479" t="s">
        <v>7</v>
      </c>
      <c r="Y183" s="480"/>
      <c r="Z183" s="479" t="s">
        <v>8</v>
      </c>
      <c r="AA183" s="552" t="s">
        <v>9</v>
      </c>
      <c r="AB183" s="553"/>
      <c r="AC183" s="553"/>
      <c r="AD183" s="554"/>
      <c r="AE183" s="479" t="s">
        <v>10</v>
      </c>
      <c r="AF183" s="570" t="s">
        <v>251</v>
      </c>
      <c r="AG183" s="569" t="s">
        <v>35</v>
      </c>
      <c r="AH183" s="569"/>
      <c r="AI183" s="378"/>
    </row>
    <row r="184" spans="1:35" s="166" customFormat="1" ht="19.5" customHeight="1" x14ac:dyDescent="0.2">
      <c r="B184" s="564"/>
      <c r="C184" s="477" t="s">
        <v>12</v>
      </c>
      <c r="D184" s="482" t="s">
        <v>13</v>
      </c>
      <c r="E184" s="483" t="s">
        <v>14</v>
      </c>
      <c r="F184" s="484" t="s">
        <v>2</v>
      </c>
      <c r="G184" s="484" t="s">
        <v>15</v>
      </c>
      <c r="H184" s="484" t="s">
        <v>15</v>
      </c>
      <c r="I184" s="484" t="s">
        <v>16</v>
      </c>
      <c r="J184" s="484" t="s">
        <v>4</v>
      </c>
      <c r="K184" s="484" t="s">
        <v>17</v>
      </c>
      <c r="L184" s="484" t="s">
        <v>17</v>
      </c>
      <c r="M184" s="484" t="s">
        <v>18</v>
      </c>
      <c r="N184" s="485"/>
      <c r="O184" s="483" t="s">
        <v>19</v>
      </c>
      <c r="P184" s="486" t="s">
        <v>20</v>
      </c>
      <c r="Q184" s="486" t="s">
        <v>21</v>
      </c>
      <c r="R184" s="486" t="s">
        <v>22</v>
      </c>
      <c r="S184" s="486" t="s">
        <v>23</v>
      </c>
      <c r="T184" s="486" t="s">
        <v>24</v>
      </c>
      <c r="U184" s="486" t="s">
        <v>25</v>
      </c>
      <c r="V184" s="486" t="s">
        <v>7</v>
      </c>
      <c r="W184" s="483" t="s">
        <v>26</v>
      </c>
      <c r="X184" s="483" t="s">
        <v>27</v>
      </c>
      <c r="Y184" s="485"/>
      <c r="Z184" s="483" t="s">
        <v>28</v>
      </c>
      <c r="AA184" s="484" t="s">
        <v>7</v>
      </c>
      <c r="AB184" s="484" t="s">
        <v>30</v>
      </c>
      <c r="AC184" s="566" t="s">
        <v>32</v>
      </c>
      <c r="AD184" s="484" t="s">
        <v>33</v>
      </c>
      <c r="AE184" s="483" t="s">
        <v>34</v>
      </c>
      <c r="AF184" s="571"/>
      <c r="AG184" s="569"/>
      <c r="AH184" s="569"/>
      <c r="AI184" s="386"/>
    </row>
    <row r="185" spans="1:35" s="166" customFormat="1" ht="17.25" customHeight="1" x14ac:dyDescent="0.2">
      <c r="B185" s="564"/>
      <c r="C185" s="478"/>
      <c r="D185" s="483"/>
      <c r="E185" s="483"/>
      <c r="F185" s="483" t="s">
        <v>36</v>
      </c>
      <c r="G185" s="483" t="s">
        <v>37</v>
      </c>
      <c r="H185" s="483" t="s">
        <v>38</v>
      </c>
      <c r="I185" s="483"/>
      <c r="J185" s="483" t="s">
        <v>19</v>
      </c>
      <c r="K185" s="483" t="s">
        <v>39</v>
      </c>
      <c r="L185" s="483" t="s">
        <v>40</v>
      </c>
      <c r="M185" s="483" t="s">
        <v>41</v>
      </c>
      <c r="N185" s="485"/>
      <c r="O185" s="483" t="s">
        <v>42</v>
      </c>
      <c r="P185" s="484" t="s">
        <v>43</v>
      </c>
      <c r="Q185" s="484" t="s">
        <v>44</v>
      </c>
      <c r="R185" s="484" t="s">
        <v>45</v>
      </c>
      <c r="S185" s="484" t="s">
        <v>45</v>
      </c>
      <c r="T185" s="484" t="s">
        <v>46</v>
      </c>
      <c r="U185" s="484" t="s">
        <v>47</v>
      </c>
      <c r="V185" s="484" t="s">
        <v>48</v>
      </c>
      <c r="W185" s="483" t="s">
        <v>49</v>
      </c>
      <c r="X185" s="487" t="s">
        <v>249</v>
      </c>
      <c r="Y185" s="488"/>
      <c r="Z185" s="483" t="s">
        <v>51</v>
      </c>
      <c r="AA185" s="483"/>
      <c r="AB185" s="489" t="s">
        <v>64</v>
      </c>
      <c r="AC185" s="567"/>
      <c r="AD185" s="483" t="s">
        <v>54</v>
      </c>
      <c r="AE185" s="483" t="s">
        <v>55</v>
      </c>
      <c r="AF185" s="571"/>
      <c r="AG185" s="569"/>
      <c r="AH185" s="569"/>
      <c r="AI185" s="379"/>
    </row>
    <row r="186" spans="1:35" s="166" customFormat="1" ht="17.25" customHeight="1" x14ac:dyDescent="0.2">
      <c r="B186" s="190"/>
      <c r="C186" s="551" t="s">
        <v>257</v>
      </c>
      <c r="D186" s="190"/>
      <c r="E186" s="190"/>
      <c r="F186" s="190"/>
      <c r="G186" s="190"/>
      <c r="H186" s="190"/>
      <c r="I186" s="190"/>
      <c r="J186" s="190"/>
      <c r="K186" s="190"/>
      <c r="L186" s="190"/>
      <c r="M186" s="190"/>
      <c r="N186" s="190"/>
      <c r="O186" s="190"/>
      <c r="P186" s="190"/>
      <c r="Q186" s="190"/>
      <c r="R186" s="190"/>
      <c r="S186" s="190"/>
      <c r="T186" s="190"/>
      <c r="U186" s="190"/>
      <c r="V186" s="190"/>
      <c r="W186" s="190"/>
      <c r="X186" s="190"/>
      <c r="Y186" s="190"/>
      <c r="Z186" s="190"/>
      <c r="AA186" s="190"/>
      <c r="AB186" s="458"/>
      <c r="AC186" s="190"/>
      <c r="AD186" s="190"/>
      <c r="AE186" s="190"/>
      <c r="AF186" s="572" t="s">
        <v>252</v>
      </c>
      <c r="AG186" s="539"/>
      <c r="AH186" s="540"/>
      <c r="AI186" s="372"/>
    </row>
    <row r="187" spans="1:35" s="166" customFormat="1" ht="43.5" customHeight="1" x14ac:dyDescent="0.2">
      <c r="B187" s="435">
        <v>60</v>
      </c>
      <c r="C187" s="551"/>
      <c r="D187" s="180" t="s">
        <v>216</v>
      </c>
      <c r="E187" s="436">
        <v>350.01</v>
      </c>
      <c r="F187" s="330">
        <v>5250.18</v>
      </c>
      <c r="G187" s="436">
        <v>2</v>
      </c>
      <c r="H187" s="436">
        <f t="shared" ref="H187" si="314">G187</f>
        <v>2</v>
      </c>
      <c r="I187" s="436">
        <v>0</v>
      </c>
      <c r="J187" s="436">
        <v>0</v>
      </c>
      <c r="K187" s="436"/>
      <c r="L187" s="436"/>
      <c r="M187" s="330">
        <f>F187+L187+Z187</f>
        <v>5250.18</v>
      </c>
      <c r="N187" s="330"/>
      <c r="O187" s="330">
        <f t="shared" ref="O187" si="315">IF(E187=47.16,0,IF(E187&gt;47.16,J187*0.5,0))</f>
        <v>0</v>
      </c>
      <c r="P187" s="330">
        <f t="shared" ref="P187" si="316">F187+G187+H187+K187+O187+I187</f>
        <v>5254.18</v>
      </c>
      <c r="Q187" s="330">
        <f t="shared" ref="Q187" si="317">VLOOKUP(P187,Tarifa1,1)</f>
        <v>2962.9549999999999</v>
      </c>
      <c r="R187" s="330">
        <f t="shared" ref="R187" si="318">P187-Q187</f>
        <v>2291.2250000000004</v>
      </c>
      <c r="S187" s="330">
        <f t="shared" ref="S187" si="319">VLOOKUP(P187,Tarifa1,3)</f>
        <v>0.21360000000000001</v>
      </c>
      <c r="T187" s="330">
        <f t="shared" ref="T187" si="320">R187*S187</f>
        <v>489.40566000000013</v>
      </c>
      <c r="U187" s="330">
        <f t="shared" ref="U187" si="321">VLOOKUP(P187,Tarifa1,2)</f>
        <v>313.8</v>
      </c>
      <c r="V187" s="330">
        <f t="shared" ref="V187" si="322">T187+U187</f>
        <v>803.20566000000008</v>
      </c>
      <c r="W187" s="330">
        <f t="shared" ref="W187" si="323">VLOOKUP(P187,Credito1,2)</f>
        <v>0</v>
      </c>
      <c r="X187" s="330">
        <f t="shared" ref="X187" si="324">V187-W187</f>
        <v>803.20566000000008</v>
      </c>
      <c r="Y187" s="330"/>
      <c r="Z187" s="330"/>
      <c r="AA187" s="330">
        <v>506.42</v>
      </c>
      <c r="AB187" s="330"/>
      <c r="AC187" s="330"/>
      <c r="AD187" s="330">
        <f>AA187</f>
        <v>506.42</v>
      </c>
      <c r="AE187" s="330">
        <f>M187-AD187</f>
        <v>4743.76</v>
      </c>
      <c r="AF187" s="572"/>
      <c r="AG187" s="539"/>
      <c r="AH187" s="540"/>
      <c r="AI187" s="372"/>
    </row>
    <row r="188" spans="1:35" s="166" customFormat="1" ht="43.5" customHeight="1" x14ac:dyDescent="0.2">
      <c r="B188" s="435">
        <v>61</v>
      </c>
      <c r="C188" s="472" t="s">
        <v>262</v>
      </c>
      <c r="D188" s="180" t="s">
        <v>127</v>
      </c>
      <c r="E188" s="436">
        <v>117.6</v>
      </c>
      <c r="F188" s="330">
        <v>1764</v>
      </c>
      <c r="G188" s="436"/>
      <c r="H188" s="436"/>
      <c r="I188" s="436"/>
      <c r="J188" s="436"/>
      <c r="K188" s="436"/>
      <c r="L188" s="436"/>
      <c r="M188" s="330">
        <f>F188+L188+Z188</f>
        <v>1764</v>
      </c>
      <c r="N188" s="330"/>
      <c r="O188" s="330"/>
      <c r="P188" s="330"/>
      <c r="Q188" s="330"/>
      <c r="R188" s="330"/>
      <c r="S188" s="330"/>
      <c r="T188" s="330"/>
      <c r="U188" s="330"/>
      <c r="V188" s="330"/>
      <c r="W188" s="330"/>
      <c r="X188" s="330"/>
      <c r="Y188" s="330"/>
      <c r="Z188" s="330"/>
      <c r="AA188" s="330">
        <v>100.17</v>
      </c>
      <c r="AB188" s="330"/>
      <c r="AC188" s="330"/>
      <c r="AD188" s="330">
        <f>AA188</f>
        <v>100.17</v>
      </c>
      <c r="AE188" s="330">
        <f>M188-AD188</f>
        <v>1663.83</v>
      </c>
      <c r="AF188" s="471" t="s">
        <v>253</v>
      </c>
      <c r="AG188" s="469"/>
      <c r="AH188" s="470"/>
      <c r="AI188" s="372"/>
    </row>
    <row r="189" spans="1:35" s="166" customFormat="1" ht="43.5" customHeight="1" x14ac:dyDescent="0.2">
      <c r="B189" s="435">
        <v>62</v>
      </c>
      <c r="C189" s="341" t="s">
        <v>179</v>
      </c>
      <c r="D189" s="449" t="s">
        <v>178</v>
      </c>
      <c r="E189" s="436">
        <v>512.33000000000004</v>
      </c>
      <c r="F189" s="330">
        <v>7685</v>
      </c>
      <c r="G189" s="436">
        <v>2</v>
      </c>
      <c r="H189" s="436">
        <f t="shared" ref="H189" si="325">G189</f>
        <v>2</v>
      </c>
      <c r="I189" s="436">
        <v>0</v>
      </c>
      <c r="J189" s="436">
        <v>0</v>
      </c>
      <c r="K189" s="436"/>
      <c r="L189" s="436"/>
      <c r="M189" s="330">
        <f>F189+L189+Z189</f>
        <v>7685</v>
      </c>
      <c r="N189" s="330"/>
      <c r="O189" s="330">
        <f t="shared" ref="O189" si="326">IF(E189=47.16,0,IF(E189&gt;47.16,J189*0.5,0))</f>
        <v>0</v>
      </c>
      <c r="P189" s="330">
        <f t="shared" ref="P189" si="327">F189+G189+H189+K189+O189+I189</f>
        <v>7689</v>
      </c>
      <c r="Q189" s="330">
        <f t="shared" ref="Q189" si="328">VLOOKUP(P189,Tarifa1,1)</f>
        <v>5975.93</v>
      </c>
      <c r="R189" s="330">
        <f t="shared" ref="R189" si="329">P189-Q189</f>
        <v>1713.0699999999997</v>
      </c>
      <c r="S189" s="330">
        <f t="shared" ref="S189" si="330">VLOOKUP(P189,Tarifa1,3)</f>
        <v>0.23519999999999999</v>
      </c>
      <c r="T189" s="330">
        <f t="shared" ref="T189" si="331">R189*S189</f>
        <v>402.91406399999994</v>
      </c>
      <c r="U189" s="330">
        <f t="shared" ref="U189" si="332">VLOOKUP(P189,Tarifa1,2)</f>
        <v>957.375</v>
      </c>
      <c r="V189" s="330">
        <f t="shared" ref="V189" si="333">T189+U189</f>
        <v>1360.2890640000001</v>
      </c>
      <c r="W189" s="330">
        <f t="shared" ref="W189" si="334">VLOOKUP(P189,Credito1,2)</f>
        <v>0</v>
      </c>
      <c r="X189" s="330">
        <f t="shared" ref="X189" si="335">V189-W189</f>
        <v>1360.2890640000001</v>
      </c>
      <c r="Y189" s="330"/>
      <c r="Z189" s="330"/>
      <c r="AA189" s="330">
        <v>1003.34</v>
      </c>
      <c r="AB189" s="330"/>
      <c r="AC189" s="330"/>
      <c r="AD189" s="330">
        <f>AA189</f>
        <v>1003.34</v>
      </c>
      <c r="AE189" s="330">
        <f>M189-AD189</f>
        <v>6681.66</v>
      </c>
      <c r="AF189" s="405" t="s">
        <v>252</v>
      </c>
      <c r="AG189" s="539"/>
      <c r="AH189" s="540"/>
      <c r="AI189" s="372"/>
    </row>
    <row r="190" spans="1:35" s="166" customFormat="1" ht="36.75" customHeight="1" x14ac:dyDescent="0.2">
      <c r="B190" s="435"/>
      <c r="C190" s="433" t="s">
        <v>151</v>
      </c>
      <c r="D190" s="225"/>
      <c r="E190" s="436"/>
      <c r="F190" s="330"/>
      <c r="G190" s="436">
        <v>3</v>
      </c>
      <c r="H190" s="436">
        <f t="shared" si="222"/>
        <v>3</v>
      </c>
      <c r="I190" s="436">
        <v>0</v>
      </c>
      <c r="J190" s="436">
        <v>0</v>
      </c>
      <c r="K190" s="436"/>
      <c r="L190" s="436"/>
      <c r="M190" s="330"/>
      <c r="N190" s="330"/>
      <c r="O190" s="330">
        <f t="shared" si="280"/>
        <v>0</v>
      </c>
      <c r="P190" s="330">
        <f t="shared" si="281"/>
        <v>6</v>
      </c>
      <c r="Q190" s="330">
        <f t="shared" si="282"/>
        <v>0.01</v>
      </c>
      <c r="R190" s="330">
        <f t="shared" si="283"/>
        <v>5.99</v>
      </c>
      <c r="S190" s="330">
        <f t="shared" si="284"/>
        <v>1.9199999999999998E-2</v>
      </c>
      <c r="T190" s="330">
        <f t="shared" si="285"/>
        <v>0.115008</v>
      </c>
      <c r="U190" s="330">
        <f t="shared" si="286"/>
        <v>0</v>
      </c>
      <c r="V190" s="330">
        <f t="shared" si="287"/>
        <v>0.115008</v>
      </c>
      <c r="W190" s="330">
        <f t="shared" si="288"/>
        <v>100.425</v>
      </c>
      <c r="X190" s="330">
        <f t="shared" si="289"/>
        <v>-100.30999199999999</v>
      </c>
      <c r="Y190" s="330"/>
      <c r="Z190" s="330"/>
      <c r="AA190" s="330"/>
      <c r="AB190" s="330"/>
      <c r="AC190" s="330"/>
      <c r="AD190" s="330"/>
      <c r="AE190" s="330"/>
      <c r="AF190" s="405"/>
      <c r="AG190" s="539"/>
      <c r="AH190" s="540"/>
      <c r="AI190" s="372"/>
    </row>
    <row r="191" spans="1:35" s="166" customFormat="1" ht="35.25" customHeight="1" x14ac:dyDescent="0.2">
      <c r="B191" s="435">
        <v>63</v>
      </c>
      <c r="C191" s="341" t="s">
        <v>152</v>
      </c>
      <c r="D191" s="225" t="s">
        <v>127</v>
      </c>
      <c r="E191" s="436">
        <v>256.26</v>
      </c>
      <c r="F191" s="330">
        <v>3843.93</v>
      </c>
      <c r="G191" s="436">
        <v>4</v>
      </c>
      <c r="H191" s="436">
        <f t="shared" si="222"/>
        <v>4</v>
      </c>
      <c r="I191" s="436">
        <v>0</v>
      </c>
      <c r="J191" s="436">
        <v>0</v>
      </c>
      <c r="K191" s="436"/>
      <c r="L191" s="436"/>
      <c r="M191" s="330">
        <f>F191+L191+Z191</f>
        <v>3843.93</v>
      </c>
      <c r="N191" s="330"/>
      <c r="O191" s="330">
        <f t="shared" si="280"/>
        <v>0</v>
      </c>
      <c r="P191" s="330">
        <f t="shared" si="281"/>
        <v>3851.93</v>
      </c>
      <c r="Q191" s="330">
        <f t="shared" si="282"/>
        <v>2962.9549999999999</v>
      </c>
      <c r="R191" s="330">
        <f t="shared" si="283"/>
        <v>888.97499999999991</v>
      </c>
      <c r="S191" s="330">
        <f t="shared" si="284"/>
        <v>0.21360000000000001</v>
      </c>
      <c r="T191" s="330">
        <f t="shared" si="285"/>
        <v>189.88505999999998</v>
      </c>
      <c r="U191" s="330">
        <f t="shared" si="286"/>
        <v>313.8</v>
      </c>
      <c r="V191" s="330">
        <f t="shared" si="287"/>
        <v>503.68506000000002</v>
      </c>
      <c r="W191" s="330">
        <f t="shared" si="288"/>
        <v>0</v>
      </c>
      <c r="X191" s="330">
        <f t="shared" si="289"/>
        <v>503.68506000000002</v>
      </c>
      <c r="Y191" s="330"/>
      <c r="Z191" s="330"/>
      <c r="AA191" s="330">
        <v>296.82</v>
      </c>
      <c r="AB191" s="330"/>
      <c r="AC191" s="330"/>
      <c r="AD191" s="330">
        <f>AA191</f>
        <v>296.82</v>
      </c>
      <c r="AE191" s="330">
        <f>M191-AD191</f>
        <v>3547.1099999999997</v>
      </c>
      <c r="AF191" s="405" t="s">
        <v>252</v>
      </c>
      <c r="AG191" s="539"/>
      <c r="AH191" s="540"/>
      <c r="AI191" s="372"/>
    </row>
    <row r="192" spans="1:35" s="166" customFormat="1" ht="25.9" customHeight="1" x14ac:dyDescent="0.2">
      <c r="B192" s="435"/>
      <c r="C192" s="448" t="s">
        <v>153</v>
      </c>
      <c r="D192" s="225"/>
      <c r="E192" s="436"/>
      <c r="F192" s="330"/>
      <c r="G192" s="436">
        <v>7</v>
      </c>
      <c r="H192" s="436">
        <f t="shared" si="222"/>
        <v>7</v>
      </c>
      <c r="I192" s="436">
        <v>0</v>
      </c>
      <c r="J192" s="436">
        <v>0</v>
      </c>
      <c r="K192" s="436"/>
      <c r="L192" s="436"/>
      <c r="M192" s="330"/>
      <c r="N192" s="330"/>
      <c r="O192" s="330">
        <f t="shared" si="280"/>
        <v>0</v>
      </c>
      <c r="P192" s="330">
        <f t="shared" si="281"/>
        <v>14</v>
      </c>
      <c r="Q192" s="330">
        <f t="shared" si="282"/>
        <v>0.01</v>
      </c>
      <c r="R192" s="330">
        <f t="shared" si="283"/>
        <v>13.99</v>
      </c>
      <c r="S192" s="330">
        <f t="shared" si="284"/>
        <v>1.9199999999999998E-2</v>
      </c>
      <c r="T192" s="330">
        <f t="shared" si="285"/>
        <v>0.26860799999999996</v>
      </c>
      <c r="U192" s="330">
        <f t="shared" si="286"/>
        <v>0</v>
      </c>
      <c r="V192" s="330">
        <f t="shared" si="287"/>
        <v>0.26860799999999996</v>
      </c>
      <c r="W192" s="330">
        <f t="shared" si="288"/>
        <v>100.425</v>
      </c>
      <c r="X192" s="330">
        <f t="shared" si="289"/>
        <v>-100.156392</v>
      </c>
      <c r="Y192" s="330"/>
      <c r="Z192" s="330"/>
      <c r="AA192" s="330"/>
      <c r="AB192" s="330"/>
      <c r="AC192" s="330"/>
      <c r="AD192" s="330"/>
      <c r="AE192" s="330"/>
      <c r="AF192" s="405"/>
      <c r="AG192" s="539"/>
      <c r="AH192" s="540"/>
      <c r="AI192" s="372"/>
    </row>
    <row r="193" spans="2:37" s="166" customFormat="1" ht="37.5" customHeight="1" x14ac:dyDescent="0.2">
      <c r="B193" s="468">
        <v>64</v>
      </c>
      <c r="C193" s="341" t="s">
        <v>154</v>
      </c>
      <c r="D193" s="225" t="s">
        <v>155</v>
      </c>
      <c r="E193" s="436">
        <v>245.99</v>
      </c>
      <c r="F193" s="330">
        <v>3689.86</v>
      </c>
      <c r="G193" s="436">
        <v>7</v>
      </c>
      <c r="H193" s="436">
        <f t="shared" si="222"/>
        <v>7</v>
      </c>
      <c r="I193" s="436">
        <v>0</v>
      </c>
      <c r="J193" s="436">
        <v>0</v>
      </c>
      <c r="K193" s="436"/>
      <c r="L193" s="436"/>
      <c r="M193" s="330">
        <f t="shared" ref="M193" si="336">F193+L193+Z193</f>
        <v>3689.86</v>
      </c>
      <c r="N193" s="330"/>
      <c r="O193" s="330">
        <f t="shared" si="280"/>
        <v>0</v>
      </c>
      <c r="P193" s="330">
        <f t="shared" si="281"/>
        <v>3703.86</v>
      </c>
      <c r="Q193" s="330">
        <f t="shared" si="282"/>
        <v>2962.9549999999999</v>
      </c>
      <c r="R193" s="330">
        <f t="shared" si="283"/>
        <v>740.9050000000002</v>
      </c>
      <c r="S193" s="330">
        <f t="shared" si="284"/>
        <v>0.21360000000000001</v>
      </c>
      <c r="T193" s="330">
        <f t="shared" si="285"/>
        <v>158.25730800000005</v>
      </c>
      <c r="U193" s="330">
        <f t="shared" si="286"/>
        <v>313.8</v>
      </c>
      <c r="V193" s="330">
        <f t="shared" si="287"/>
        <v>472.05730800000003</v>
      </c>
      <c r="W193" s="330">
        <f t="shared" si="288"/>
        <v>0</v>
      </c>
      <c r="X193" s="330">
        <f t="shared" si="289"/>
        <v>472.05730800000003</v>
      </c>
      <c r="Y193" s="330"/>
      <c r="Z193" s="330"/>
      <c r="AA193" s="330">
        <v>280.08</v>
      </c>
      <c r="AB193" s="330"/>
      <c r="AC193" s="330"/>
      <c r="AD193" s="330">
        <f>AA193</f>
        <v>280.08</v>
      </c>
      <c r="AE193" s="330">
        <f>M193-AD193</f>
        <v>3409.78</v>
      </c>
      <c r="AF193" s="465" t="s">
        <v>253</v>
      </c>
      <c r="AG193" s="539"/>
      <c r="AH193" s="540"/>
      <c r="AI193" s="372"/>
    </row>
    <row r="194" spans="2:37" s="166" customFormat="1" ht="37.5" customHeight="1" x14ac:dyDescent="0.2">
      <c r="B194" s="435"/>
      <c r="C194" s="433" t="s">
        <v>156</v>
      </c>
      <c r="D194" s="225"/>
      <c r="E194" s="436"/>
      <c r="F194" s="330"/>
      <c r="G194" s="436"/>
      <c r="H194" s="436"/>
      <c r="I194" s="436"/>
      <c r="J194" s="436"/>
      <c r="K194" s="436"/>
      <c r="L194" s="436"/>
      <c r="M194" s="330"/>
      <c r="N194" s="330"/>
      <c r="O194" s="330"/>
      <c r="P194" s="330"/>
      <c r="Q194" s="330"/>
      <c r="R194" s="330"/>
      <c r="S194" s="330"/>
      <c r="T194" s="330"/>
      <c r="U194" s="330"/>
      <c r="V194" s="330"/>
      <c r="W194" s="330"/>
      <c r="X194" s="330"/>
      <c r="Y194" s="330"/>
      <c r="Z194" s="330"/>
      <c r="AA194" s="330"/>
      <c r="AB194" s="330"/>
      <c r="AC194" s="330"/>
      <c r="AD194" s="330"/>
      <c r="AE194" s="330"/>
      <c r="AF194" s="465"/>
      <c r="AG194" s="539"/>
      <c r="AH194" s="540"/>
      <c r="AI194" s="372"/>
    </row>
    <row r="195" spans="2:37" s="166" customFormat="1" ht="37.5" customHeight="1" x14ac:dyDescent="0.2">
      <c r="B195" s="435">
        <v>65</v>
      </c>
      <c r="C195" s="341" t="s">
        <v>217</v>
      </c>
      <c r="D195" s="180" t="s">
        <v>157</v>
      </c>
      <c r="E195" s="436">
        <v>308.04000000000002</v>
      </c>
      <c r="F195" s="330">
        <v>4620.54</v>
      </c>
      <c r="G195" s="436">
        <v>0</v>
      </c>
      <c r="H195" s="436">
        <f t="shared" ref="H195" si="337">G195</f>
        <v>0</v>
      </c>
      <c r="I195" s="436">
        <v>0</v>
      </c>
      <c r="J195" s="436">
        <v>0</v>
      </c>
      <c r="K195" s="436"/>
      <c r="L195" s="436"/>
      <c r="M195" s="330">
        <f>F195+L195+Z195</f>
        <v>4620.54</v>
      </c>
      <c r="N195" s="330"/>
      <c r="O195" s="330">
        <f t="shared" ref="O195" si="338">IF(E195=47.16,0,IF(E195&gt;47.16,J195*0.5,0))</f>
        <v>0</v>
      </c>
      <c r="P195" s="330">
        <f t="shared" ref="P195" si="339">F195+G195+H195+K195+O195+I195</f>
        <v>4620.54</v>
      </c>
      <c r="Q195" s="330">
        <f t="shared" ref="Q195" si="340">VLOOKUP(P195,Tarifa1,1)</f>
        <v>2962.9549999999999</v>
      </c>
      <c r="R195" s="330">
        <f t="shared" ref="R195" si="341">P195-Q195</f>
        <v>1657.585</v>
      </c>
      <c r="S195" s="330">
        <f t="shared" ref="S195" si="342">VLOOKUP(P195,Tarifa1,3)</f>
        <v>0.21360000000000001</v>
      </c>
      <c r="T195" s="330">
        <f t="shared" ref="T195" si="343">R195*S195</f>
        <v>354.06015600000001</v>
      </c>
      <c r="U195" s="330">
        <f t="shared" ref="U195" si="344">VLOOKUP(P195,Tarifa1,2)</f>
        <v>313.8</v>
      </c>
      <c r="V195" s="330">
        <f t="shared" ref="V195" si="345">T195+U195</f>
        <v>667.86015599999996</v>
      </c>
      <c r="W195" s="330">
        <f t="shared" ref="W195" si="346">VLOOKUP(P195,Credito1,2)</f>
        <v>0</v>
      </c>
      <c r="X195" s="330">
        <f t="shared" ref="X195" si="347">V195-W195</f>
        <v>667.86015599999996</v>
      </c>
      <c r="Y195" s="330"/>
      <c r="Z195" s="330"/>
      <c r="AA195" s="330">
        <v>399.87</v>
      </c>
      <c r="AB195" s="330"/>
      <c r="AC195" s="330"/>
      <c r="AD195" s="330">
        <f>AA195</f>
        <v>399.87</v>
      </c>
      <c r="AE195" s="330">
        <f>M195-AD195</f>
        <v>4220.67</v>
      </c>
      <c r="AF195" s="405" t="s">
        <v>252</v>
      </c>
      <c r="AG195" s="539"/>
      <c r="AH195" s="540"/>
      <c r="AI195" s="372"/>
    </row>
    <row r="196" spans="2:37" s="166" customFormat="1" ht="23.25" customHeight="1" thickBot="1" x14ac:dyDescent="0.25">
      <c r="B196" s="453"/>
      <c r="C196" s="459" t="s">
        <v>60</v>
      </c>
      <c r="D196" s="460"/>
      <c r="E196" s="454"/>
      <c r="F196" s="461">
        <f>F187+F189+F191+F193+F195</f>
        <v>25089.510000000002</v>
      </c>
      <c r="G196" s="461">
        <f t="shared" ref="G196:L196" si="348">SUM(G187:G195)</f>
        <v>25</v>
      </c>
      <c r="H196" s="461">
        <f t="shared" si="348"/>
        <v>25</v>
      </c>
      <c r="I196" s="461">
        <f t="shared" si="348"/>
        <v>0</v>
      </c>
      <c r="J196" s="461">
        <f t="shared" si="348"/>
        <v>0</v>
      </c>
      <c r="K196" s="461">
        <f t="shared" si="348"/>
        <v>0</v>
      </c>
      <c r="L196" s="461">
        <f t="shared" si="348"/>
        <v>0</v>
      </c>
      <c r="M196" s="461">
        <f>M187+M189+M191+M193+M195</f>
        <v>25089.510000000002</v>
      </c>
      <c r="N196" s="461">
        <f t="shared" ref="N196:AD196" si="349">N187+N189+N191+N193+N195</f>
        <v>0</v>
      </c>
      <c r="O196" s="461">
        <f t="shared" si="349"/>
        <v>0</v>
      </c>
      <c r="P196" s="461">
        <f t="shared" si="349"/>
        <v>25119.510000000002</v>
      </c>
      <c r="Q196" s="461">
        <f t="shared" si="349"/>
        <v>17827.75</v>
      </c>
      <c r="R196" s="461">
        <f t="shared" si="349"/>
        <v>7291.7600000000011</v>
      </c>
      <c r="S196" s="461">
        <f t="shared" si="349"/>
        <v>1.0895999999999999</v>
      </c>
      <c r="T196" s="461">
        <f t="shared" si="349"/>
        <v>1594.522248</v>
      </c>
      <c r="U196" s="461">
        <f t="shared" si="349"/>
        <v>2212.5749999999998</v>
      </c>
      <c r="V196" s="461">
        <f t="shared" si="349"/>
        <v>3807.097248</v>
      </c>
      <c r="W196" s="461">
        <f t="shared" si="349"/>
        <v>0</v>
      </c>
      <c r="X196" s="461">
        <f t="shared" si="349"/>
        <v>3807.097248</v>
      </c>
      <c r="Y196" s="461">
        <f t="shared" si="349"/>
        <v>0</v>
      </c>
      <c r="Z196" s="461">
        <f t="shared" si="349"/>
        <v>0</v>
      </c>
      <c r="AA196" s="461">
        <f t="shared" si="349"/>
        <v>2486.5299999999997</v>
      </c>
      <c r="AB196" s="461">
        <f t="shared" si="349"/>
        <v>0</v>
      </c>
      <c r="AC196" s="461">
        <f t="shared" si="349"/>
        <v>0</v>
      </c>
      <c r="AD196" s="461">
        <f t="shared" si="349"/>
        <v>2486.5299999999997</v>
      </c>
      <c r="AE196" s="461">
        <f>AE187++AE188+AE189+AE191+AE193+AE195</f>
        <v>24266.809999999998</v>
      </c>
      <c r="AF196" s="420"/>
      <c r="AG196" s="538"/>
      <c r="AH196" s="538"/>
      <c r="AI196" s="375"/>
    </row>
    <row r="197" spans="2:37" s="166" customFormat="1" ht="18.75" customHeight="1" x14ac:dyDescent="0.2">
      <c r="B197" s="435"/>
      <c r="C197" s="161"/>
      <c r="D197" s="161"/>
      <c r="E197" s="462"/>
      <c r="F197" s="462"/>
      <c r="G197" s="462"/>
      <c r="H197" s="462"/>
      <c r="I197" s="462"/>
      <c r="J197" s="462"/>
      <c r="K197" s="462"/>
      <c r="L197" s="462"/>
      <c r="M197" s="462"/>
      <c r="N197" s="462"/>
      <c r="O197" s="462"/>
      <c r="P197" s="462"/>
      <c r="Q197" s="462"/>
      <c r="R197" s="462"/>
      <c r="S197" s="462"/>
      <c r="T197" s="462"/>
      <c r="U197" s="462"/>
      <c r="V197" s="462"/>
      <c r="W197" s="462"/>
      <c r="X197" s="462"/>
      <c r="Y197" s="462"/>
      <c r="Z197" s="462"/>
      <c r="AA197" s="462"/>
      <c r="AB197" s="462"/>
      <c r="AC197" s="462"/>
      <c r="AD197" s="462"/>
      <c r="AE197" s="462"/>
      <c r="AF197" s="346"/>
      <c r="AG197" s="538"/>
      <c r="AH197" s="538"/>
      <c r="AI197" s="178"/>
    </row>
    <row r="198" spans="2:37" s="166" customFormat="1" ht="18.75" customHeight="1" x14ac:dyDescent="0.2">
      <c r="B198" s="435"/>
      <c r="C198" s="161"/>
      <c r="D198" s="161"/>
      <c r="E198" s="462"/>
      <c r="F198" s="462"/>
      <c r="G198" s="462"/>
      <c r="H198" s="462"/>
      <c r="I198" s="462"/>
      <c r="J198" s="462"/>
      <c r="K198" s="462"/>
      <c r="L198" s="462"/>
      <c r="M198" s="462"/>
      <c r="N198" s="462"/>
      <c r="O198" s="462"/>
      <c r="P198" s="462"/>
      <c r="Q198" s="462"/>
      <c r="R198" s="462"/>
      <c r="S198" s="462"/>
      <c r="T198" s="462"/>
      <c r="U198" s="462"/>
      <c r="V198" s="462"/>
      <c r="W198" s="462"/>
      <c r="X198" s="462"/>
      <c r="Y198" s="462"/>
      <c r="Z198" s="462"/>
      <c r="AA198" s="462"/>
      <c r="AB198" s="462"/>
      <c r="AC198" s="462"/>
      <c r="AD198" s="462"/>
      <c r="AE198" s="462"/>
      <c r="AF198" s="346"/>
      <c r="AG198" s="538"/>
      <c r="AH198" s="538"/>
      <c r="AI198" s="178"/>
    </row>
    <row r="199" spans="2:37" s="166" customFormat="1" ht="18.75" customHeight="1" x14ac:dyDescent="0.2">
      <c r="B199" s="158"/>
      <c r="C199" s="194"/>
      <c r="D199" s="194"/>
      <c r="E199" s="195"/>
      <c r="F199" s="195"/>
      <c r="G199" s="195"/>
      <c r="H199" s="195"/>
      <c r="I199" s="195"/>
      <c r="J199" s="195"/>
      <c r="K199" s="195"/>
      <c r="L199" s="195"/>
      <c r="M199" s="195"/>
      <c r="N199" s="195"/>
      <c r="O199" s="195"/>
      <c r="P199" s="195"/>
      <c r="Q199" s="195"/>
      <c r="R199" s="195"/>
      <c r="S199" s="195"/>
      <c r="T199" s="195"/>
      <c r="U199" s="195"/>
      <c r="V199" s="195"/>
      <c r="W199" s="195"/>
      <c r="X199" s="195"/>
      <c r="Y199" s="195"/>
      <c r="Z199" s="195"/>
      <c r="AA199" s="195"/>
      <c r="AB199" s="195"/>
      <c r="AC199" s="195"/>
      <c r="AD199" s="195"/>
      <c r="AE199" s="195"/>
      <c r="AF199" s="352"/>
      <c r="AG199" s="167"/>
      <c r="AH199" s="167"/>
      <c r="AI199" s="178"/>
    </row>
    <row r="200" spans="2:37" s="166" customFormat="1" ht="2.4500000000000002" customHeight="1" thickBot="1" x14ac:dyDescent="0.25">
      <c r="B200" s="182"/>
      <c r="C200" s="231"/>
      <c r="D200" s="226"/>
      <c r="E200" s="353"/>
      <c r="F200" s="353"/>
      <c r="G200" s="353">
        <f>SUM(G6:G193)</f>
        <v>578</v>
      </c>
      <c r="H200" s="353">
        <f>SUM(H6:H193)</f>
        <v>578</v>
      </c>
      <c r="I200" s="353">
        <f>SUM(I6:I193)</f>
        <v>0</v>
      </c>
      <c r="J200" s="353">
        <f>SUM(J6:J193)</f>
        <v>0</v>
      </c>
      <c r="K200" s="353"/>
      <c r="L200" s="353"/>
      <c r="M200" s="353"/>
      <c r="N200" s="353">
        <f t="shared" ref="N200:Y200" si="350">SUM(N6:N193)</f>
        <v>4814.08</v>
      </c>
      <c r="O200" s="353" t="e">
        <f t="shared" si="350"/>
        <v>#REF!</v>
      </c>
      <c r="P200" s="353" t="e">
        <f t="shared" si="350"/>
        <v>#REF!</v>
      </c>
      <c r="Q200" s="353" t="e">
        <f t="shared" si="350"/>
        <v>#N/A</v>
      </c>
      <c r="R200" s="353" t="e">
        <f t="shared" si="350"/>
        <v>#N/A</v>
      </c>
      <c r="S200" s="353" t="e">
        <f t="shared" si="350"/>
        <v>#N/A</v>
      </c>
      <c r="T200" s="353" t="e">
        <f t="shared" si="350"/>
        <v>#N/A</v>
      </c>
      <c r="U200" s="353" t="e">
        <f t="shared" si="350"/>
        <v>#N/A</v>
      </c>
      <c r="V200" s="353" t="e">
        <f t="shared" si="350"/>
        <v>#N/A</v>
      </c>
      <c r="W200" s="353" t="e">
        <f t="shared" si="350"/>
        <v>#N/A</v>
      </c>
      <c r="X200" s="353" t="e">
        <f t="shared" si="350"/>
        <v>#N/A</v>
      </c>
      <c r="Y200" s="353" t="e">
        <f t="shared" si="350"/>
        <v>#REF!</v>
      </c>
      <c r="Z200" s="353"/>
      <c r="AA200" s="353"/>
      <c r="AB200" s="353"/>
      <c r="AC200" s="353"/>
      <c r="AD200" s="353"/>
      <c r="AE200" s="353"/>
      <c r="AF200" s="352"/>
      <c r="AG200" s="167"/>
      <c r="AH200" s="167"/>
      <c r="AI200" s="178"/>
    </row>
    <row r="201" spans="2:37" s="198" customFormat="1" ht="37.15" customHeight="1" x14ac:dyDescent="0.2">
      <c r="B201" s="406"/>
      <c r="C201" s="407"/>
      <c r="D201" s="407" t="s">
        <v>158</v>
      </c>
      <c r="E201" s="408"/>
      <c r="F201" s="409">
        <f t="shared" ref="F201:AE201" si="351">F20+F79+F112+F144+F172+F196</f>
        <v>495300.85000000003</v>
      </c>
      <c r="G201" s="409">
        <f t="shared" si="351"/>
        <v>305</v>
      </c>
      <c r="H201" s="409">
        <f t="shared" si="351"/>
        <v>305</v>
      </c>
      <c r="I201" s="409">
        <f t="shared" si="351"/>
        <v>0</v>
      </c>
      <c r="J201" s="409">
        <f t="shared" si="351"/>
        <v>0</v>
      </c>
      <c r="K201" s="409">
        <f t="shared" si="351"/>
        <v>5483</v>
      </c>
      <c r="L201" s="409">
        <f t="shared" si="351"/>
        <v>0</v>
      </c>
      <c r="M201" s="409">
        <f t="shared" si="351"/>
        <v>495300.85000000003</v>
      </c>
      <c r="N201" s="409">
        <f t="shared" si="351"/>
        <v>2407.04</v>
      </c>
      <c r="O201" s="409" t="e">
        <f t="shared" si="351"/>
        <v>#REF!</v>
      </c>
      <c r="P201" s="409" t="e">
        <f t="shared" si="351"/>
        <v>#REF!</v>
      </c>
      <c r="Q201" s="409" t="e">
        <f t="shared" si="351"/>
        <v>#N/A</v>
      </c>
      <c r="R201" s="409" t="e">
        <f t="shared" si="351"/>
        <v>#N/A</v>
      </c>
      <c r="S201" s="409" t="e">
        <f t="shared" si="351"/>
        <v>#N/A</v>
      </c>
      <c r="T201" s="409" t="e">
        <f t="shared" si="351"/>
        <v>#N/A</v>
      </c>
      <c r="U201" s="409" t="e">
        <f t="shared" si="351"/>
        <v>#N/A</v>
      </c>
      <c r="V201" s="409" t="e">
        <f t="shared" si="351"/>
        <v>#N/A</v>
      </c>
      <c r="W201" s="409" t="e">
        <f t="shared" si="351"/>
        <v>#N/A</v>
      </c>
      <c r="X201" s="409" t="e">
        <f t="shared" si="351"/>
        <v>#N/A</v>
      </c>
      <c r="Y201" s="409" t="e">
        <f t="shared" si="351"/>
        <v>#REF!</v>
      </c>
      <c r="Z201" s="409">
        <f t="shared" si="351"/>
        <v>0</v>
      </c>
      <c r="AA201" s="422">
        <f t="shared" si="351"/>
        <v>63086.130000000005</v>
      </c>
      <c r="AB201" s="409">
        <f t="shared" si="351"/>
        <v>0</v>
      </c>
      <c r="AC201" s="409">
        <f t="shared" si="351"/>
        <v>0</v>
      </c>
      <c r="AD201" s="409">
        <f t="shared" si="351"/>
        <v>63086.130000000005</v>
      </c>
      <c r="AE201" s="422">
        <f t="shared" si="351"/>
        <v>433029.54000000004</v>
      </c>
      <c r="AF201" s="410"/>
      <c r="AG201" s="411"/>
      <c r="AH201" s="412"/>
      <c r="AI201" s="197"/>
    </row>
    <row r="202" spans="2:37" s="166" customFormat="1" ht="14.25" x14ac:dyDescent="0.2">
      <c r="B202" s="413"/>
      <c r="C202" s="414"/>
      <c r="D202" s="414"/>
      <c r="E202" s="415"/>
      <c r="F202" s="415"/>
      <c r="G202" s="415">
        <f>SUM(G8:G197)</f>
        <v>603</v>
      </c>
      <c r="H202" s="415">
        <f>SUM(H8:H197)</f>
        <v>603</v>
      </c>
      <c r="I202" s="415">
        <f>SUM(I8:I197)</f>
        <v>0</v>
      </c>
      <c r="J202" s="415">
        <f>SUM(J8:J197)</f>
        <v>0</v>
      </c>
      <c r="K202" s="415"/>
      <c r="L202" s="415"/>
      <c r="M202" s="415"/>
      <c r="N202" s="415">
        <f t="shared" ref="N202:Y202" si="352">SUM(N8:N197)</f>
        <v>4814.08</v>
      </c>
      <c r="O202" s="415" t="e">
        <f t="shared" si="352"/>
        <v>#REF!</v>
      </c>
      <c r="P202" s="415" t="e">
        <f t="shared" si="352"/>
        <v>#REF!</v>
      </c>
      <c r="Q202" s="415" t="e">
        <f t="shared" si="352"/>
        <v>#N/A</v>
      </c>
      <c r="R202" s="415" t="e">
        <f t="shared" si="352"/>
        <v>#N/A</v>
      </c>
      <c r="S202" s="415" t="e">
        <f t="shared" si="352"/>
        <v>#N/A</v>
      </c>
      <c r="T202" s="415" t="e">
        <f t="shared" si="352"/>
        <v>#N/A</v>
      </c>
      <c r="U202" s="415" t="e">
        <f t="shared" si="352"/>
        <v>#N/A</v>
      </c>
      <c r="V202" s="415" t="e">
        <f t="shared" si="352"/>
        <v>#N/A</v>
      </c>
      <c r="W202" s="415" t="e">
        <f t="shared" si="352"/>
        <v>#N/A</v>
      </c>
      <c r="X202" s="415" t="e">
        <f t="shared" si="352"/>
        <v>#N/A</v>
      </c>
      <c r="Y202" s="415" t="e">
        <f t="shared" si="352"/>
        <v>#REF!</v>
      </c>
      <c r="Z202" s="415"/>
      <c r="AA202" s="415"/>
      <c r="AB202" s="415"/>
      <c r="AC202" s="415"/>
      <c r="AD202" s="415"/>
      <c r="AE202" s="415"/>
      <c r="AF202" s="416"/>
      <c r="AG202" s="191"/>
      <c r="AH202" s="191"/>
      <c r="AI202" s="178"/>
    </row>
    <row r="203" spans="2:37" s="166" customFormat="1" ht="14.25" x14ac:dyDescent="0.2">
      <c r="B203" s="229"/>
      <c r="C203" s="201"/>
      <c r="D203" s="201"/>
      <c r="E203" s="202"/>
      <c r="F203" s="203"/>
      <c r="G203" s="204"/>
      <c r="H203" s="204"/>
      <c r="I203" s="204"/>
      <c r="J203" s="204"/>
      <c r="K203" s="204"/>
      <c r="L203" s="204"/>
      <c r="M203" s="203"/>
      <c r="N203" s="199"/>
      <c r="O203" s="203"/>
      <c r="P203" s="203"/>
      <c r="Q203" s="203"/>
      <c r="R203" s="203"/>
      <c r="S203" s="205"/>
      <c r="T203" s="203"/>
      <c r="U203" s="203"/>
      <c r="V203" s="203"/>
      <c r="W203" s="203"/>
      <c r="X203" s="203"/>
      <c r="Y203" s="200"/>
      <c r="Z203" s="203"/>
      <c r="AA203" s="203"/>
      <c r="AB203" s="203"/>
      <c r="AC203" s="203"/>
      <c r="AD203" s="203"/>
      <c r="AE203" s="203"/>
      <c r="AF203" s="227"/>
      <c r="AG203" s="167"/>
      <c r="AH203" s="167"/>
      <c r="AI203" s="178"/>
    </row>
    <row r="204" spans="2:37" s="166" customFormat="1" ht="14.25" x14ac:dyDescent="0.2">
      <c r="B204" s="164"/>
      <c r="C204" s="201"/>
      <c r="D204" s="201"/>
      <c r="E204" s="202"/>
      <c r="F204" s="203"/>
      <c r="G204" s="204"/>
      <c r="H204" s="204"/>
      <c r="I204" s="204"/>
      <c r="J204" s="204"/>
      <c r="K204" s="204"/>
      <c r="L204" s="204"/>
      <c r="M204" s="203"/>
      <c r="N204" s="199"/>
      <c r="O204" s="203"/>
      <c r="P204" s="203"/>
      <c r="Q204" s="203"/>
      <c r="R204" s="203"/>
      <c r="S204" s="205"/>
      <c r="T204" s="203"/>
      <c r="U204" s="203"/>
      <c r="V204" s="203"/>
      <c r="W204" s="203"/>
      <c r="X204" s="203"/>
      <c r="Y204" s="200"/>
      <c r="Z204" s="203"/>
      <c r="AA204" s="203"/>
      <c r="AB204" s="203"/>
      <c r="AC204" s="203"/>
      <c r="AD204" s="203"/>
      <c r="AE204" s="203"/>
      <c r="AF204" s="227"/>
      <c r="AG204" s="167"/>
      <c r="AH204" s="167"/>
      <c r="AI204" s="167"/>
      <c r="AK204" s="206"/>
    </row>
    <row r="205" spans="2:37" s="166" customFormat="1" ht="15" x14ac:dyDescent="0.2">
      <c r="B205" s="164"/>
      <c r="C205" s="201"/>
      <c r="D205" s="201"/>
      <c r="E205" s="202"/>
      <c r="F205" s="203"/>
      <c r="G205" s="204"/>
      <c r="H205" s="204"/>
      <c r="I205" s="204"/>
      <c r="J205" s="204"/>
      <c r="K205" s="204"/>
      <c r="M205" s="203"/>
      <c r="N205" s="199"/>
      <c r="O205" s="203"/>
      <c r="P205" s="203"/>
      <c r="Q205" s="203"/>
      <c r="R205" s="203"/>
      <c r="S205" s="205"/>
      <c r="T205" s="203"/>
      <c r="U205" s="203"/>
      <c r="V205" s="203"/>
      <c r="W205" s="203"/>
      <c r="X205" s="203"/>
      <c r="Y205" s="200"/>
      <c r="Z205" s="203"/>
      <c r="AA205" s="203"/>
      <c r="AB205" s="207" t="s">
        <v>177</v>
      </c>
      <c r="AC205" s="208"/>
      <c r="AD205" s="208"/>
      <c r="AE205" s="208"/>
      <c r="AF205" s="402"/>
      <c r="AG205" s="208"/>
      <c r="AH205" s="167"/>
      <c r="AI205" s="167"/>
    </row>
    <row r="206" spans="2:37" s="166" customFormat="1" ht="14.25" x14ac:dyDescent="0.2">
      <c r="B206" s="164"/>
      <c r="C206" s="201"/>
      <c r="D206" s="201"/>
      <c r="E206" s="202"/>
      <c r="F206" s="202"/>
      <c r="G206" s="202"/>
      <c r="H206" s="202"/>
      <c r="I206" s="202"/>
      <c r="J206" s="202"/>
      <c r="K206" s="202"/>
      <c r="L206" s="202"/>
      <c r="M206" s="202"/>
      <c r="N206" s="202"/>
      <c r="O206" s="202"/>
      <c r="P206" s="202"/>
      <c r="Q206" s="202"/>
      <c r="R206" s="202"/>
      <c r="S206" s="202"/>
      <c r="T206" s="202"/>
      <c r="U206" s="202"/>
      <c r="V206" s="202"/>
      <c r="W206" s="202"/>
      <c r="X206" s="202"/>
      <c r="Y206" s="202"/>
      <c r="Z206" s="202"/>
      <c r="AA206" s="202"/>
      <c r="AB206" s="202"/>
      <c r="AC206" s="202"/>
      <c r="AD206" s="202"/>
      <c r="AE206" s="202"/>
      <c r="AF206" s="227"/>
      <c r="AG206" s="167"/>
      <c r="AH206" s="167"/>
      <c r="AI206" s="167"/>
    </row>
    <row r="207" spans="2:37" s="166" customFormat="1" ht="14.25" x14ac:dyDescent="0.2">
      <c r="B207" s="164"/>
      <c r="C207" s="201"/>
      <c r="D207" s="201"/>
      <c r="E207" s="193"/>
      <c r="F207" s="149"/>
      <c r="G207" s="193"/>
      <c r="H207" s="193"/>
      <c r="I207" s="193"/>
      <c r="J207" s="193"/>
      <c r="K207" s="193"/>
      <c r="L207" s="193"/>
      <c r="M207" s="149"/>
      <c r="N207" s="149"/>
      <c r="O207" s="149"/>
      <c r="P207" s="149"/>
      <c r="Q207" s="149"/>
      <c r="R207" s="149"/>
      <c r="S207" s="149"/>
      <c r="T207" s="149"/>
      <c r="U207" s="149"/>
      <c r="V207" s="149"/>
      <c r="W207" s="149"/>
      <c r="X207" s="149"/>
      <c r="Y207" s="149"/>
      <c r="Z207" s="149"/>
      <c r="AA207" s="149"/>
      <c r="AB207" s="149"/>
      <c r="AC207" s="149"/>
      <c r="AD207" s="149"/>
      <c r="AE207" s="149"/>
      <c r="AF207" s="227"/>
      <c r="AG207" s="167"/>
      <c r="AH207" s="167"/>
      <c r="AI207" s="167"/>
    </row>
    <row r="208" spans="2:37" s="166" customFormat="1" ht="14.25" x14ac:dyDescent="0.2">
      <c r="B208" s="164"/>
      <c r="C208" s="201"/>
      <c r="D208" s="201"/>
      <c r="E208" s="202"/>
      <c r="F208" s="203"/>
      <c r="G208" s="204"/>
      <c r="H208" s="204"/>
      <c r="I208" s="204"/>
      <c r="J208" s="204"/>
      <c r="K208" s="204"/>
      <c r="L208" s="204"/>
      <c r="M208" s="203"/>
      <c r="N208" s="199"/>
      <c r="O208" s="203"/>
      <c r="P208" s="203"/>
      <c r="Q208" s="203"/>
      <c r="R208" s="203"/>
      <c r="S208" s="205"/>
      <c r="T208" s="203"/>
      <c r="U208" s="203"/>
      <c r="V208" s="203"/>
      <c r="W208" s="203"/>
      <c r="X208" s="203"/>
      <c r="Y208" s="200"/>
      <c r="Z208" s="203"/>
      <c r="AA208" s="203" t="s">
        <v>263</v>
      </c>
      <c r="AB208" s="203"/>
      <c r="AC208" s="203"/>
      <c r="AD208" s="203"/>
      <c r="AF208" s="227"/>
      <c r="AG208" s="209"/>
      <c r="AH208" s="167"/>
      <c r="AI208" s="167"/>
    </row>
    <row r="209" spans="2:35" s="166" customFormat="1" ht="14.25" x14ac:dyDescent="0.2">
      <c r="B209" s="164"/>
      <c r="C209" s="157"/>
      <c r="G209" s="167"/>
      <c r="H209" s="167"/>
      <c r="I209" s="167"/>
      <c r="J209" s="167"/>
      <c r="K209" s="167"/>
      <c r="L209" s="167"/>
      <c r="M209" s="167"/>
      <c r="N209" s="167"/>
      <c r="O209" s="167"/>
      <c r="P209" s="167"/>
      <c r="Q209" s="167"/>
      <c r="R209" s="167"/>
      <c r="S209" s="167"/>
      <c r="T209" s="167"/>
      <c r="U209" s="167"/>
      <c r="V209" s="167"/>
      <c r="W209" s="167"/>
      <c r="X209" s="167"/>
      <c r="Y209" s="167"/>
      <c r="Z209" s="167"/>
      <c r="AE209" s="210"/>
      <c r="AF209" s="227"/>
      <c r="AG209" s="167"/>
      <c r="AH209" s="167"/>
      <c r="AI209" s="167"/>
    </row>
    <row r="210" spans="2:35" s="166" customFormat="1" ht="14.25" x14ac:dyDescent="0.2">
      <c r="B210" s="164"/>
      <c r="C210" s="192"/>
      <c r="D210" s="192"/>
      <c r="G210" s="211"/>
      <c r="H210" s="167"/>
      <c r="I210" s="167"/>
      <c r="J210" s="167"/>
      <c r="K210" s="167"/>
      <c r="L210" s="167"/>
      <c r="M210" s="167"/>
      <c r="N210" s="167"/>
      <c r="O210" s="167"/>
      <c r="P210" s="167"/>
      <c r="Q210" s="167"/>
      <c r="R210" s="167"/>
      <c r="S210" s="167"/>
      <c r="T210" s="167"/>
      <c r="U210" s="167"/>
      <c r="V210" s="167"/>
      <c r="W210" s="167"/>
      <c r="X210" s="167"/>
      <c r="Y210" s="167"/>
      <c r="Z210" s="167"/>
      <c r="AA210" s="573"/>
      <c r="AB210" s="573"/>
      <c r="AC210" s="573"/>
      <c r="AD210" s="573"/>
      <c r="AE210" s="573"/>
      <c r="AF210" s="227"/>
      <c r="AG210" s="206"/>
      <c r="AH210" s="167"/>
      <c r="AI210" s="167"/>
    </row>
    <row r="211" spans="2:35" s="166" customFormat="1" ht="19.899999999999999" customHeight="1" x14ac:dyDescent="0.2">
      <c r="B211" s="164"/>
      <c r="C211" s="544" t="s">
        <v>159</v>
      </c>
      <c r="D211" s="544"/>
      <c r="G211" s="547"/>
      <c r="H211" s="547"/>
      <c r="I211" s="547"/>
      <c r="J211" s="547"/>
      <c r="K211" s="547"/>
      <c r="L211" s="547"/>
      <c r="M211" s="547"/>
      <c r="N211" s="547"/>
      <c r="O211" s="547"/>
      <c r="P211" s="547"/>
      <c r="Q211" s="547"/>
      <c r="R211" s="547"/>
      <c r="S211" s="547"/>
      <c r="T211" s="547"/>
      <c r="U211" s="547"/>
      <c r="V211" s="547"/>
      <c r="W211" s="547"/>
      <c r="X211" s="547"/>
      <c r="Y211" s="547"/>
      <c r="Z211" s="547"/>
      <c r="AA211" s="544" t="s">
        <v>243</v>
      </c>
      <c r="AB211" s="544"/>
      <c r="AC211" s="544"/>
      <c r="AD211" s="544"/>
      <c r="AE211" s="544"/>
      <c r="AF211" s="227"/>
      <c r="AH211" s="167"/>
      <c r="AI211" s="167"/>
    </row>
    <row r="212" spans="2:35" s="166" customFormat="1" ht="16.899999999999999" customHeight="1" x14ac:dyDescent="0.2">
      <c r="B212" s="164"/>
      <c r="C212" s="568" t="s">
        <v>250</v>
      </c>
      <c r="D212" s="568"/>
      <c r="G212" s="196"/>
      <c r="H212" s="196"/>
      <c r="I212" s="196"/>
      <c r="J212" s="196"/>
      <c r="K212" s="196"/>
      <c r="L212" s="547"/>
      <c r="M212" s="547"/>
      <c r="N212" s="547"/>
      <c r="O212" s="547"/>
      <c r="P212" s="547"/>
      <c r="Q212" s="547"/>
      <c r="R212" s="547"/>
      <c r="S212" s="547"/>
      <c r="T212" s="547"/>
      <c r="U212" s="547"/>
      <c r="V212" s="547"/>
      <c r="W212" s="547"/>
      <c r="X212" s="547"/>
      <c r="Y212" s="547"/>
      <c r="Z212" s="547"/>
      <c r="AA212" s="568" t="s">
        <v>244</v>
      </c>
      <c r="AB212" s="568"/>
      <c r="AC212" s="568"/>
      <c r="AD212" s="568"/>
      <c r="AE212" s="568"/>
      <c r="AF212" s="212"/>
      <c r="AG212" s="198"/>
      <c r="AH212" s="198"/>
      <c r="AI212" s="198"/>
    </row>
    <row r="213" spans="2:35" s="166" customFormat="1" x14ac:dyDescent="0.2">
      <c r="B213" s="167"/>
      <c r="C213" s="157"/>
      <c r="AD213" s="167"/>
      <c r="AE213" s="167"/>
      <c r="AF213" s="227"/>
      <c r="AG213" s="167"/>
      <c r="AH213" s="167"/>
      <c r="AI213" s="167"/>
    </row>
    <row r="214" spans="2:35" s="166" customFormat="1" ht="16.5" x14ac:dyDescent="0.2">
      <c r="C214" s="157"/>
      <c r="AD214" s="167"/>
      <c r="AE214" s="213"/>
      <c r="AF214" s="214"/>
      <c r="AG214" s="214"/>
      <c r="AH214" s="215"/>
      <c r="AI214" s="216"/>
    </row>
    <row r="215" spans="2:35" s="166" customFormat="1" ht="16.5" x14ac:dyDescent="0.2">
      <c r="C215" s="157"/>
      <c r="AD215" s="167"/>
      <c r="AE215" s="217"/>
      <c r="AF215" s="217"/>
      <c r="AG215" s="217"/>
      <c r="AH215" s="216"/>
      <c r="AI215" s="216"/>
    </row>
    <row r="216" spans="2:35" s="166" customFormat="1" ht="16.5" x14ac:dyDescent="0.2">
      <c r="C216" s="157"/>
      <c r="AD216" s="167"/>
      <c r="AE216" s="217"/>
      <c r="AF216" s="217"/>
      <c r="AG216" s="217"/>
      <c r="AH216" s="216"/>
      <c r="AI216" s="216"/>
    </row>
    <row r="217" spans="2:35" s="166" customFormat="1" ht="16.5" x14ac:dyDescent="0.2">
      <c r="C217" s="157"/>
      <c r="AD217" s="167"/>
      <c r="AE217" s="217"/>
      <c r="AF217" s="217"/>
      <c r="AG217" s="217"/>
      <c r="AH217" s="216"/>
      <c r="AI217" s="216"/>
    </row>
    <row r="218" spans="2:35" s="166" customFormat="1" ht="16.5" x14ac:dyDescent="0.2">
      <c r="C218" s="157"/>
      <c r="AD218" s="167"/>
      <c r="AE218" s="217"/>
      <c r="AF218" s="217"/>
      <c r="AG218" s="217"/>
      <c r="AH218" s="216"/>
      <c r="AI218" s="216"/>
    </row>
    <row r="219" spans="2:35" s="166" customFormat="1" ht="16.5" x14ac:dyDescent="0.2">
      <c r="C219" s="157"/>
      <c r="AD219" s="167"/>
      <c r="AE219" s="217"/>
      <c r="AF219" s="217"/>
      <c r="AG219" s="217"/>
      <c r="AH219" s="555"/>
      <c r="AI219" s="555"/>
    </row>
    <row r="220" spans="2:35" s="166" customFormat="1" ht="16.5" x14ac:dyDescent="0.2">
      <c r="C220" s="157"/>
      <c r="AD220" s="167"/>
      <c r="AE220" s="217"/>
      <c r="AF220" s="217"/>
      <c r="AG220" s="217"/>
      <c r="AH220" s="216"/>
      <c r="AI220" s="216"/>
    </row>
    <row r="221" spans="2:35" s="166" customFormat="1" ht="16.5" x14ac:dyDescent="0.2">
      <c r="C221" s="157"/>
      <c r="AD221" s="211"/>
      <c r="AE221" s="217"/>
      <c r="AF221" s="217"/>
      <c r="AG221" s="217"/>
      <c r="AH221" s="216"/>
      <c r="AI221" s="216"/>
    </row>
    <row r="222" spans="2:35" s="166" customFormat="1" ht="16.5" x14ac:dyDescent="0.2">
      <c r="C222" s="157"/>
      <c r="AD222" s="167"/>
      <c r="AE222" s="217"/>
      <c r="AF222" s="217"/>
      <c r="AG222" s="217"/>
      <c r="AH222" s="216"/>
      <c r="AI222" s="216"/>
    </row>
    <row r="223" spans="2:35" s="166" customFormat="1" ht="16.5" x14ac:dyDescent="0.2">
      <c r="C223" s="157"/>
      <c r="D223" s="218"/>
      <c r="AD223" s="167"/>
      <c r="AE223" s="216"/>
      <c r="AF223" s="214"/>
      <c r="AG223" s="216"/>
      <c r="AH223" s="216"/>
      <c r="AI223" s="216"/>
    </row>
    <row r="224" spans="2:35" s="166" customFormat="1" ht="16.5" x14ac:dyDescent="0.2">
      <c r="C224" s="157"/>
      <c r="AD224" s="167"/>
      <c r="AE224" s="216"/>
      <c r="AF224" s="214"/>
      <c r="AG224" s="215"/>
      <c r="AH224" s="216"/>
      <c r="AI224" s="216"/>
    </row>
    <row r="225" spans="2:35" s="166" customFormat="1" x14ac:dyDescent="0.2">
      <c r="C225" s="157"/>
      <c r="AD225" s="167"/>
      <c r="AE225" s="167"/>
      <c r="AF225" s="227"/>
      <c r="AG225" s="167"/>
      <c r="AH225" s="167"/>
      <c r="AI225" s="167"/>
    </row>
    <row r="226" spans="2:35" s="166" customFormat="1" x14ac:dyDescent="0.2">
      <c r="C226" s="157"/>
      <c r="AD226" s="167"/>
      <c r="AE226" s="167"/>
      <c r="AF226" s="227"/>
      <c r="AG226" s="167"/>
      <c r="AH226" s="167"/>
      <c r="AI226" s="167"/>
    </row>
    <row r="227" spans="2:35" s="166" customFormat="1" x14ac:dyDescent="0.2">
      <c r="C227" s="157"/>
      <c r="AD227" s="167"/>
      <c r="AE227" s="167"/>
      <c r="AF227" s="227"/>
      <c r="AG227" s="167"/>
      <c r="AH227" s="167"/>
      <c r="AI227" s="167"/>
    </row>
    <row r="228" spans="2:35" s="166" customFormat="1" x14ac:dyDescent="0.2">
      <c r="C228" s="157"/>
      <c r="AD228" s="209"/>
      <c r="AE228" s="167"/>
      <c r="AF228" s="227"/>
      <c r="AG228" s="209"/>
      <c r="AH228" s="167"/>
      <c r="AI228" s="167"/>
    </row>
    <row r="229" spans="2:35" s="166" customFormat="1" x14ac:dyDescent="0.2">
      <c r="C229" s="157"/>
      <c r="AD229" s="209"/>
      <c r="AE229" s="167"/>
      <c r="AF229" s="227"/>
      <c r="AG229" s="209"/>
      <c r="AH229" s="167"/>
      <c r="AI229" s="219"/>
    </row>
    <row r="230" spans="2:35" s="166" customFormat="1" x14ac:dyDescent="0.2">
      <c r="C230" s="157"/>
      <c r="AD230" s="209"/>
      <c r="AE230" s="167"/>
      <c r="AF230" s="227"/>
      <c r="AG230" s="209"/>
      <c r="AH230" s="167"/>
      <c r="AI230" s="219"/>
    </row>
    <row r="231" spans="2:35" s="166" customFormat="1" x14ac:dyDescent="0.2">
      <c r="C231" s="157"/>
      <c r="AD231" s="209"/>
      <c r="AE231" s="167"/>
      <c r="AF231" s="227"/>
      <c r="AG231" s="209"/>
      <c r="AH231" s="167"/>
      <c r="AI231" s="167"/>
    </row>
    <row r="232" spans="2:35" s="166" customFormat="1" x14ac:dyDescent="0.2">
      <c r="C232" s="157"/>
      <c r="AD232" s="209"/>
      <c r="AE232" s="220"/>
      <c r="AF232" s="227"/>
      <c r="AG232" s="221"/>
      <c r="AH232" s="167"/>
      <c r="AI232" s="167"/>
    </row>
    <row r="233" spans="2:35" s="166" customFormat="1" x14ac:dyDescent="0.2">
      <c r="B233" s="167"/>
      <c r="C233" s="227"/>
      <c r="D233" s="167"/>
      <c r="E233" s="167"/>
      <c r="F233" s="167"/>
      <c r="G233" s="167"/>
      <c r="H233" s="167"/>
      <c r="I233" s="167"/>
      <c r="J233" s="167"/>
      <c r="K233" s="167"/>
      <c r="L233" s="167"/>
      <c r="M233" s="167"/>
      <c r="N233" s="167"/>
      <c r="O233" s="167"/>
      <c r="P233" s="167"/>
      <c r="Q233" s="167"/>
      <c r="R233" s="167"/>
      <c r="S233" s="167"/>
      <c r="T233" s="167"/>
      <c r="U233" s="167"/>
      <c r="V233" s="167"/>
      <c r="W233" s="167"/>
      <c r="X233" s="167"/>
      <c r="Y233" s="167"/>
      <c r="Z233" s="167"/>
      <c r="AA233" s="167"/>
      <c r="AB233" s="167"/>
      <c r="AD233" s="209"/>
      <c r="AE233" s="167"/>
      <c r="AF233" s="227"/>
      <c r="AG233" s="167"/>
      <c r="AH233" s="167"/>
      <c r="AI233" s="167"/>
    </row>
    <row r="234" spans="2:35" s="166" customFormat="1" x14ac:dyDescent="0.2">
      <c r="B234" s="222"/>
      <c r="C234" s="222"/>
      <c r="D234" s="222"/>
      <c r="E234" s="222"/>
      <c r="F234" s="223"/>
      <c r="G234" s="223"/>
      <c r="H234" s="223"/>
      <c r="I234" s="223"/>
      <c r="J234" s="223"/>
      <c r="K234" s="223"/>
      <c r="L234" s="223"/>
      <c r="M234" s="223"/>
      <c r="N234" s="223"/>
      <c r="O234" s="223"/>
      <c r="P234" s="223"/>
      <c r="Q234" s="223"/>
      <c r="R234" s="223"/>
      <c r="S234" s="223"/>
      <c r="T234" s="223"/>
      <c r="U234" s="223"/>
      <c r="V234" s="223"/>
      <c r="W234" s="223"/>
      <c r="X234" s="223"/>
      <c r="Y234" s="223"/>
      <c r="Z234" s="223"/>
      <c r="AA234" s="223"/>
      <c r="AB234" s="223"/>
      <c r="AD234" s="209"/>
      <c r="AE234" s="167"/>
      <c r="AF234" s="227"/>
      <c r="AG234" s="167"/>
      <c r="AH234" s="167"/>
      <c r="AI234" s="167"/>
    </row>
    <row r="235" spans="2:35" s="166" customFormat="1" ht="15" x14ac:dyDescent="0.2">
      <c r="B235" s="547"/>
      <c r="C235" s="547"/>
      <c r="D235" s="547"/>
      <c r="E235" s="547"/>
      <c r="F235" s="224"/>
      <c r="G235" s="224"/>
      <c r="H235" s="224"/>
      <c r="I235" s="224"/>
      <c r="J235" s="224"/>
      <c r="K235" s="224"/>
      <c r="L235" s="224"/>
      <c r="M235" s="224"/>
      <c r="N235" s="224"/>
      <c r="O235" s="224"/>
      <c r="P235" s="224"/>
      <c r="Q235" s="224"/>
      <c r="R235" s="224"/>
      <c r="S235" s="224"/>
      <c r="T235" s="224"/>
      <c r="U235" s="224"/>
      <c r="V235" s="224"/>
      <c r="W235" s="224"/>
      <c r="X235" s="224"/>
      <c r="Y235" s="224"/>
      <c r="Z235" s="224"/>
      <c r="AA235" s="224"/>
      <c r="AB235" s="224"/>
      <c r="AD235" s="209"/>
      <c r="AE235" s="167"/>
      <c r="AF235" s="227"/>
      <c r="AG235" s="167"/>
      <c r="AH235" s="167"/>
      <c r="AI235" s="167"/>
    </row>
    <row r="236" spans="2:35" x14ac:dyDescent="0.2">
      <c r="B236" s="31"/>
      <c r="C236" s="227"/>
      <c r="D236" s="32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  <c r="AA236" s="31"/>
      <c r="AB236" s="31"/>
      <c r="AD236" s="39"/>
      <c r="AE236" s="32"/>
      <c r="AF236" s="227"/>
      <c r="AG236" s="32"/>
      <c r="AH236" s="32"/>
      <c r="AI236" s="32"/>
    </row>
    <row r="237" spans="2:35" x14ac:dyDescent="0.2">
      <c r="AC237" s="5"/>
      <c r="AD237" s="39"/>
      <c r="AE237" s="32"/>
      <c r="AF237" s="227"/>
      <c r="AG237" s="32"/>
      <c r="AH237" s="32"/>
      <c r="AI237" s="32"/>
    </row>
    <row r="238" spans="2:35" x14ac:dyDescent="0.2">
      <c r="AC238" s="5"/>
      <c r="AD238" s="39"/>
      <c r="AE238" s="32"/>
      <c r="AF238" s="227"/>
      <c r="AG238" s="32"/>
      <c r="AH238" s="32"/>
      <c r="AI238" s="32"/>
    </row>
    <row r="239" spans="2:35" ht="14.25" x14ac:dyDescent="0.2">
      <c r="AC239" s="33"/>
      <c r="AD239" s="40"/>
      <c r="AE239" s="44"/>
      <c r="AF239" s="227"/>
      <c r="AG239" s="32"/>
      <c r="AH239" s="32"/>
      <c r="AI239" s="32"/>
    </row>
    <row r="240" spans="2:35" ht="14.25" x14ac:dyDescent="0.2">
      <c r="AD240" s="32"/>
      <c r="AE240" s="44"/>
      <c r="AF240" s="227"/>
      <c r="AG240" s="32"/>
      <c r="AH240" s="32"/>
      <c r="AI240" s="32"/>
    </row>
    <row r="241" spans="31:31" ht="14.25" x14ac:dyDescent="0.2">
      <c r="AE241" s="44"/>
    </row>
  </sheetData>
  <mergeCells count="152">
    <mergeCell ref="AG4:AH6"/>
    <mergeCell ref="AF101:AF103"/>
    <mergeCell ref="AG35:AH37"/>
    <mergeCell ref="AF35:AF37"/>
    <mergeCell ref="AG101:AH102"/>
    <mergeCell ref="AF4:AF6"/>
    <mergeCell ref="AG8:AH8"/>
    <mergeCell ref="AG9:AH9"/>
    <mergeCell ref="AG10:AH10"/>
    <mergeCell ref="AG11:AH11"/>
    <mergeCell ref="AG12:AH12"/>
    <mergeCell ref="AG13:AH13"/>
    <mergeCell ref="AG14:AH14"/>
    <mergeCell ref="AG15:AH15"/>
    <mergeCell ref="AG16:AH16"/>
    <mergeCell ref="AG17:AH17"/>
    <mergeCell ref="AG40:AH40"/>
    <mergeCell ref="AG41:AH41"/>
    <mergeCell ref="AG42:AH42"/>
    <mergeCell ref="AG43:AH43"/>
    <mergeCell ref="AG44:AH44"/>
    <mergeCell ref="AG18:AH18"/>
    <mergeCell ref="AG19:AH19"/>
    <mergeCell ref="AG20:AH20"/>
    <mergeCell ref="B4:B6"/>
    <mergeCell ref="D4:D6"/>
    <mergeCell ref="E5:E6"/>
    <mergeCell ref="B2:AE2"/>
    <mergeCell ref="B3:AE3"/>
    <mergeCell ref="F4:M4"/>
    <mergeCell ref="Q4:V4"/>
    <mergeCell ref="AA4:AD4"/>
    <mergeCell ref="AA5:AA6"/>
    <mergeCell ref="AC5:AC6"/>
    <mergeCell ref="C4:C6"/>
    <mergeCell ref="AH219:AI219"/>
    <mergeCell ref="B33:AE33"/>
    <mergeCell ref="B34:AE34"/>
    <mergeCell ref="AA183:AD183"/>
    <mergeCell ref="D36:D37"/>
    <mergeCell ref="AA36:AA37"/>
    <mergeCell ref="AC36:AC37"/>
    <mergeCell ref="B183:B185"/>
    <mergeCell ref="AF144:AH144"/>
    <mergeCell ref="AA35:AD35"/>
    <mergeCell ref="AA101:AD101"/>
    <mergeCell ref="AC184:AC185"/>
    <mergeCell ref="C212:D212"/>
    <mergeCell ref="AA212:AE212"/>
    <mergeCell ref="AG183:AH185"/>
    <mergeCell ref="AF183:AF185"/>
    <mergeCell ref="AF186:AF187"/>
    <mergeCell ref="AG196:AH196"/>
    <mergeCell ref="AA210:AE210"/>
    <mergeCell ref="AG186:AH186"/>
    <mergeCell ref="AG187:AH187"/>
    <mergeCell ref="AG189:AH189"/>
    <mergeCell ref="AG190:AH190"/>
    <mergeCell ref="AG191:AH191"/>
    <mergeCell ref="AA27:AE27"/>
    <mergeCell ref="C27:D27"/>
    <mergeCell ref="C211:D211"/>
    <mergeCell ref="C28:D28"/>
    <mergeCell ref="C26:D26"/>
    <mergeCell ref="AA211:AE211"/>
    <mergeCell ref="B235:E235"/>
    <mergeCell ref="F35:M35"/>
    <mergeCell ref="Q35:V35"/>
    <mergeCell ref="F101:M101"/>
    <mergeCell ref="Q101:V101"/>
    <mergeCell ref="L212:Z212"/>
    <mergeCell ref="G211:Z211"/>
    <mergeCell ref="C186:C187"/>
    <mergeCell ref="F183:M183"/>
    <mergeCell ref="Q183:V183"/>
    <mergeCell ref="AG38:AH38"/>
    <mergeCell ref="AG39:AH39"/>
    <mergeCell ref="AG50:AH50"/>
    <mergeCell ref="AG51:AH51"/>
    <mergeCell ref="AG52:AH52"/>
    <mergeCell ref="AG53:AH53"/>
    <mergeCell ref="AG54:AH54"/>
    <mergeCell ref="AG45:AH45"/>
    <mergeCell ref="AG46:AH46"/>
    <mergeCell ref="AG47:AH47"/>
    <mergeCell ref="AG48:AH48"/>
    <mergeCell ref="AG49:AH49"/>
    <mergeCell ref="AG64:AH64"/>
    <mergeCell ref="AG65:AH65"/>
    <mergeCell ref="AG66:AH66"/>
    <mergeCell ref="AG67:AH67"/>
    <mergeCell ref="AG68:AH68"/>
    <mergeCell ref="AG55:AH55"/>
    <mergeCell ref="AG56:AH56"/>
    <mergeCell ref="AG57:AH57"/>
    <mergeCell ref="AG58:AH58"/>
    <mergeCell ref="AG63:AH63"/>
    <mergeCell ref="AG74:AH74"/>
    <mergeCell ref="AG75:AH75"/>
    <mergeCell ref="AG76:AH76"/>
    <mergeCell ref="AG77:AH77"/>
    <mergeCell ref="AG78:AH78"/>
    <mergeCell ref="AG69:AH69"/>
    <mergeCell ref="AG70:AH70"/>
    <mergeCell ref="AG71:AH71"/>
    <mergeCell ref="AG72:AH72"/>
    <mergeCell ref="AG73:AH73"/>
    <mergeCell ref="AG108:AH108"/>
    <mergeCell ref="AG109:AH109"/>
    <mergeCell ref="AG110:AH110"/>
    <mergeCell ref="AG111:AH111"/>
    <mergeCell ref="AG137:AH137"/>
    <mergeCell ref="AG104:AH104"/>
    <mergeCell ref="AG105:AH105"/>
    <mergeCell ref="AG106:AH106"/>
    <mergeCell ref="AG107:AH107"/>
    <mergeCell ref="AG143:AH143"/>
    <mergeCell ref="AG147:AH147"/>
    <mergeCell ref="AG148:AH148"/>
    <mergeCell ref="AG149:AH149"/>
    <mergeCell ref="AG150:AH150"/>
    <mergeCell ref="AG138:AH138"/>
    <mergeCell ref="AG139:AH139"/>
    <mergeCell ref="AG140:AH140"/>
    <mergeCell ref="AG141:AH141"/>
    <mergeCell ref="AG142:AH142"/>
    <mergeCell ref="AG156:AH156"/>
    <mergeCell ref="AG157:AH157"/>
    <mergeCell ref="AG158:AH158"/>
    <mergeCell ref="AG159:AH159"/>
    <mergeCell ref="AG160:AH160"/>
    <mergeCell ref="AG151:AH151"/>
    <mergeCell ref="AG152:AH152"/>
    <mergeCell ref="AG153:AH153"/>
    <mergeCell ref="AG154:AH154"/>
    <mergeCell ref="AG155:AH155"/>
    <mergeCell ref="AG198:AH198"/>
    <mergeCell ref="AG166:AH166"/>
    <mergeCell ref="AG167:AH167"/>
    <mergeCell ref="AG168:AH168"/>
    <mergeCell ref="AG169:AH169"/>
    <mergeCell ref="AG170:AH170"/>
    <mergeCell ref="AG161:AH161"/>
    <mergeCell ref="AG162:AH162"/>
    <mergeCell ref="AG163:AH163"/>
    <mergeCell ref="AG164:AH164"/>
    <mergeCell ref="AG165:AH165"/>
    <mergeCell ref="AG192:AH192"/>
    <mergeCell ref="AG193:AH193"/>
    <mergeCell ref="AG194:AH194"/>
    <mergeCell ref="AG195:AH195"/>
    <mergeCell ref="AG197:AH197"/>
  </mergeCells>
  <pageMargins left="0.7" right="0.7" top="0.75" bottom="0.75" header="0.3" footer="0.3"/>
  <pageSetup scale="5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5" sqref="E15"/>
    </sheetView>
  </sheetViews>
  <sheetFormatPr baseColWidth="10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6" sqref="G16"/>
    </sheetView>
  </sheetViews>
  <sheetFormatPr baseColWidth="10"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1"/>
  <sheetViews>
    <sheetView showGridLines="0" topLeftCell="B7" workbookViewId="0">
      <selection activeCell="F7" sqref="F7:G24"/>
    </sheetView>
  </sheetViews>
  <sheetFormatPr baseColWidth="10" defaultColWidth="11.42578125" defaultRowHeight="12.75" x14ac:dyDescent="0.2"/>
  <cols>
    <col min="1" max="1" width="11.42578125" style="4"/>
    <col min="2" max="4" width="13.7109375" style="4" customWidth="1"/>
    <col min="5" max="5" width="11.42578125" style="4"/>
    <col min="6" max="7" width="13.7109375" style="4" customWidth="1"/>
    <col min="8" max="16384" width="11.42578125" style="4"/>
  </cols>
  <sheetData>
    <row r="2" spans="1:7" ht="18.75" x14ac:dyDescent="0.3">
      <c r="B2" s="7" t="s">
        <v>160</v>
      </c>
      <c r="C2" s="8"/>
      <c r="D2" s="8"/>
      <c r="E2" s="8"/>
      <c r="F2" s="8"/>
      <c r="G2" s="8"/>
    </row>
    <row r="3" spans="1:7" x14ac:dyDescent="0.2">
      <c r="B3" s="9" t="s">
        <v>161</v>
      </c>
      <c r="C3" s="8"/>
      <c r="D3" s="8"/>
      <c r="E3" s="8"/>
      <c r="F3" s="8"/>
      <c r="G3" s="8"/>
    </row>
    <row r="4" spans="1:7" x14ac:dyDescent="0.2">
      <c r="B4" s="20" t="s">
        <v>162</v>
      </c>
      <c r="C4" s="8"/>
      <c r="D4" s="8"/>
      <c r="E4" s="8"/>
      <c r="F4" s="8"/>
      <c r="G4" s="8"/>
    </row>
    <row r="5" spans="1:7" x14ac:dyDescent="0.2">
      <c r="B5" s="8"/>
      <c r="C5" s="8"/>
      <c r="D5" s="8"/>
      <c r="E5" s="8"/>
      <c r="F5" s="8"/>
      <c r="G5" s="8"/>
    </row>
    <row r="6" spans="1:7" x14ac:dyDescent="0.2">
      <c r="B6" s="8"/>
      <c r="C6" s="8"/>
      <c r="D6" s="8"/>
      <c r="E6" s="8"/>
      <c r="F6" s="8"/>
      <c r="G6" s="8"/>
    </row>
    <row r="7" spans="1:7" ht="18.75" customHeight="1" x14ac:dyDescent="0.2">
      <c r="B7" s="617" t="s">
        <v>163</v>
      </c>
      <c r="C7" s="617"/>
      <c r="D7" s="617"/>
      <c r="E7" s="8"/>
      <c r="F7" s="618" t="s">
        <v>164</v>
      </c>
      <c r="G7" s="619"/>
    </row>
    <row r="8" spans="1:7" ht="14.25" customHeight="1" x14ac:dyDescent="0.2">
      <c r="B8" s="620" t="s">
        <v>7</v>
      </c>
      <c r="C8" s="620"/>
      <c r="D8" s="620"/>
      <c r="E8" s="8"/>
      <c r="F8" s="621" t="s">
        <v>165</v>
      </c>
      <c r="G8" s="622"/>
    </row>
    <row r="9" spans="1:7" ht="8.25" customHeight="1" x14ac:dyDescent="0.2">
      <c r="B9" s="614"/>
      <c r="C9" s="614"/>
      <c r="D9" s="614"/>
      <c r="E9" s="8"/>
      <c r="F9" s="615"/>
      <c r="G9" s="616"/>
    </row>
    <row r="10" spans="1:7" ht="16.5" customHeight="1" x14ac:dyDescent="0.2">
      <c r="B10" s="10" t="s">
        <v>21</v>
      </c>
      <c r="C10" s="10" t="s">
        <v>25</v>
      </c>
      <c r="D10" s="10" t="s">
        <v>166</v>
      </c>
      <c r="E10" s="8"/>
      <c r="F10" s="10" t="s">
        <v>167</v>
      </c>
      <c r="G10" s="10" t="s">
        <v>168</v>
      </c>
    </row>
    <row r="11" spans="1:7" x14ac:dyDescent="0.2">
      <c r="A11" s="2"/>
      <c r="B11" s="10" t="s">
        <v>44</v>
      </c>
      <c r="C11" s="10" t="s">
        <v>47</v>
      </c>
      <c r="D11" s="10" t="s">
        <v>169</v>
      </c>
      <c r="E11" s="8"/>
      <c r="F11" s="10"/>
      <c r="G11" s="10" t="s">
        <v>51</v>
      </c>
    </row>
    <row r="12" spans="1:7" x14ac:dyDescent="0.2">
      <c r="A12" s="3"/>
      <c r="B12" s="11"/>
      <c r="C12" s="11"/>
      <c r="D12" s="11"/>
      <c r="E12" s="12"/>
      <c r="F12" s="11"/>
      <c r="G12" s="11"/>
    </row>
    <row r="13" spans="1:7" ht="15.95" customHeight="1" x14ac:dyDescent="0.2">
      <c r="A13" s="1"/>
      <c r="B13" s="21">
        <v>0.01</v>
      </c>
      <c r="C13" s="21">
        <v>0</v>
      </c>
      <c r="D13" s="22">
        <v>1.9199999999999998E-2</v>
      </c>
      <c r="E13" s="15"/>
      <c r="F13" s="21">
        <v>0.01</v>
      </c>
      <c r="G13" s="21">
        <v>200.85</v>
      </c>
    </row>
    <row r="14" spans="1:7" ht="15.95" customHeight="1" x14ac:dyDescent="0.2">
      <c r="A14" s="1"/>
      <c r="B14" s="21">
        <v>285.45999999999998</v>
      </c>
      <c r="C14" s="21">
        <v>5.55</v>
      </c>
      <c r="D14" s="22">
        <v>6.4000000000000001E-2</v>
      </c>
      <c r="E14" s="15"/>
      <c r="F14" s="21">
        <v>872.86</v>
      </c>
      <c r="G14" s="21">
        <v>200.7</v>
      </c>
    </row>
    <row r="15" spans="1:7" ht="15.95" customHeight="1" x14ac:dyDescent="0.2">
      <c r="A15" s="1"/>
      <c r="B15" s="21">
        <v>2422.81</v>
      </c>
      <c r="C15" s="21">
        <v>142.19999999999999</v>
      </c>
      <c r="D15" s="22">
        <v>0.10879999999999999</v>
      </c>
      <c r="E15" s="15"/>
      <c r="F15" s="21">
        <v>1309.2</v>
      </c>
      <c r="G15" s="21">
        <v>200.7</v>
      </c>
    </row>
    <row r="16" spans="1:7" ht="15.95" customHeight="1" x14ac:dyDescent="0.2">
      <c r="A16" s="1"/>
      <c r="B16" s="21">
        <v>4257.91</v>
      </c>
      <c r="C16" s="21">
        <v>341.85</v>
      </c>
      <c r="D16" s="22">
        <v>0.16</v>
      </c>
      <c r="E16" s="15"/>
      <c r="F16" s="21">
        <v>1713.61</v>
      </c>
      <c r="G16" s="21">
        <v>193.8</v>
      </c>
    </row>
    <row r="17" spans="1:7" ht="15.95" customHeight="1" x14ac:dyDescent="0.2">
      <c r="A17" s="1"/>
      <c r="B17" s="21">
        <v>4949.5600000000004</v>
      </c>
      <c r="C17" s="21">
        <v>452.55</v>
      </c>
      <c r="D17" s="22">
        <v>0.1792</v>
      </c>
      <c r="E17" s="15"/>
      <c r="F17" s="21">
        <v>1745.71</v>
      </c>
      <c r="G17" s="21">
        <v>188.7</v>
      </c>
    </row>
    <row r="18" spans="1:7" ht="15.95" customHeight="1" x14ac:dyDescent="0.2">
      <c r="A18" s="1"/>
      <c r="B18" s="21">
        <v>5925.91</v>
      </c>
      <c r="C18" s="21">
        <v>627.6</v>
      </c>
      <c r="D18" s="22">
        <v>0.21360000000000001</v>
      </c>
      <c r="E18" s="15"/>
      <c r="F18" s="21">
        <v>2193.7600000000002</v>
      </c>
      <c r="G18" s="21">
        <v>174.75</v>
      </c>
    </row>
    <row r="19" spans="1:7" ht="15.95" customHeight="1" x14ac:dyDescent="0.2">
      <c r="A19" s="1"/>
      <c r="B19" s="21">
        <v>11951.86</v>
      </c>
      <c r="C19" s="21">
        <v>1914.75</v>
      </c>
      <c r="D19" s="22">
        <v>0.23519999999999999</v>
      </c>
      <c r="E19" s="8"/>
      <c r="F19" s="21">
        <v>2327.56</v>
      </c>
      <c r="G19" s="21">
        <v>160.35</v>
      </c>
    </row>
    <row r="20" spans="1:7" ht="15.95" customHeight="1" x14ac:dyDescent="0.2">
      <c r="A20" s="1"/>
      <c r="B20" s="21">
        <v>18837.759999999998</v>
      </c>
      <c r="C20" s="21">
        <v>3534.3</v>
      </c>
      <c r="D20" s="22">
        <v>0.3</v>
      </c>
      <c r="E20" s="8"/>
      <c r="F20" s="21">
        <v>2632.66</v>
      </c>
      <c r="G20" s="21">
        <v>145.35</v>
      </c>
    </row>
    <row r="21" spans="1:7" x14ac:dyDescent="0.2">
      <c r="A21" s="1"/>
      <c r="B21" s="16"/>
      <c r="C21" s="16"/>
      <c r="D21" s="17"/>
      <c r="E21" s="8"/>
      <c r="F21" s="21">
        <v>3071.41</v>
      </c>
      <c r="G21" s="21">
        <v>125.1</v>
      </c>
    </row>
    <row r="22" spans="1:7" x14ac:dyDescent="0.2">
      <c r="A22" s="1"/>
      <c r="E22" s="8"/>
      <c r="F22" s="23">
        <v>3510.16</v>
      </c>
      <c r="G22" s="23">
        <v>107.4</v>
      </c>
    </row>
    <row r="23" spans="1:7" x14ac:dyDescent="0.2">
      <c r="B23" s="8"/>
      <c r="C23" s="8"/>
      <c r="D23" s="8"/>
      <c r="E23" s="8"/>
      <c r="F23" s="23">
        <v>3642.61</v>
      </c>
      <c r="G23" s="23">
        <v>0</v>
      </c>
    </row>
    <row r="24" spans="1:7" x14ac:dyDescent="0.2">
      <c r="B24" s="8"/>
      <c r="C24" s="8"/>
      <c r="D24" s="8"/>
      <c r="E24" s="8"/>
      <c r="F24" s="18"/>
      <c r="G24" s="18"/>
    </row>
    <row r="25" spans="1:7" x14ac:dyDescent="0.2">
      <c r="C25" s="8"/>
      <c r="D25" s="8"/>
      <c r="E25" s="8"/>
      <c r="F25" s="8"/>
      <c r="G25" s="8"/>
    </row>
    <row r="26" spans="1:7" x14ac:dyDescent="0.2">
      <c r="C26" s="8"/>
      <c r="D26" s="8"/>
      <c r="E26" s="8"/>
      <c r="F26" s="8"/>
      <c r="G26" s="8"/>
    </row>
    <row r="27" spans="1:7" x14ac:dyDescent="0.2">
      <c r="C27" s="8"/>
      <c r="D27" s="8"/>
      <c r="E27" s="8"/>
      <c r="F27" s="8"/>
      <c r="G27" s="8"/>
    </row>
    <row r="28" spans="1:7" x14ac:dyDescent="0.2">
      <c r="C28" s="8"/>
      <c r="D28" s="8"/>
      <c r="E28" s="8"/>
      <c r="F28" s="8"/>
      <c r="G28" s="8"/>
    </row>
    <row r="29" spans="1:7" x14ac:dyDescent="0.2">
      <c r="B29" s="8"/>
      <c r="C29" s="8"/>
      <c r="D29" s="8"/>
      <c r="E29" s="8"/>
      <c r="F29" s="8"/>
      <c r="G29" s="8"/>
    </row>
    <row r="30" spans="1:7" x14ac:dyDescent="0.2">
      <c r="B30" s="9" t="s">
        <v>170</v>
      </c>
      <c r="C30" s="8"/>
      <c r="D30" s="8"/>
      <c r="E30" s="8"/>
      <c r="F30" s="8"/>
      <c r="G30" s="8"/>
    </row>
    <row r="31" spans="1:7" ht="15.75" x14ac:dyDescent="0.25">
      <c r="B31" s="19" t="s">
        <v>171</v>
      </c>
      <c r="C31" s="8"/>
      <c r="D31" s="8"/>
      <c r="E31" s="8"/>
      <c r="F31" s="8"/>
      <c r="G31" s="8"/>
    </row>
    <row r="32" spans="1:7" x14ac:dyDescent="0.2">
      <c r="B32" s="30" t="s">
        <v>172</v>
      </c>
      <c r="C32" s="8"/>
      <c r="D32" s="8"/>
      <c r="E32" s="8"/>
      <c r="F32" s="8"/>
      <c r="G32" s="8"/>
    </row>
    <row r="41" spans="2:7" x14ac:dyDescent="0.2">
      <c r="B41" s="6" t="s">
        <v>173</v>
      </c>
    </row>
    <row r="44" spans="2:7" ht="17.25" customHeight="1" x14ac:dyDescent="0.2">
      <c r="B44" s="617" t="s">
        <v>163</v>
      </c>
      <c r="C44" s="617"/>
      <c r="D44" s="617"/>
      <c r="E44" s="8"/>
      <c r="F44" s="618" t="s">
        <v>174</v>
      </c>
      <c r="G44" s="619"/>
    </row>
    <row r="45" spans="2:7" x14ac:dyDescent="0.2">
      <c r="B45" s="620" t="s">
        <v>7</v>
      </c>
      <c r="C45" s="620"/>
      <c r="D45" s="620"/>
      <c r="E45" s="8"/>
      <c r="F45" s="621" t="s">
        <v>175</v>
      </c>
      <c r="G45" s="622"/>
    </row>
    <row r="46" spans="2:7" ht="5.25" customHeight="1" x14ac:dyDescent="0.2">
      <c r="B46" s="614"/>
      <c r="C46" s="614"/>
      <c r="D46" s="614"/>
      <c r="E46" s="8"/>
      <c r="F46" s="615"/>
      <c r="G46" s="616"/>
    </row>
    <row r="47" spans="2:7" x14ac:dyDescent="0.2">
      <c r="B47" s="10" t="s">
        <v>21</v>
      </c>
      <c r="C47" s="10" t="s">
        <v>25</v>
      </c>
      <c r="D47" s="10" t="s">
        <v>166</v>
      </c>
      <c r="E47" s="8"/>
      <c r="F47" s="10" t="s">
        <v>167</v>
      </c>
      <c r="G47" s="10" t="s">
        <v>176</v>
      </c>
    </row>
    <row r="48" spans="2:7" x14ac:dyDescent="0.2">
      <c r="B48" s="10" t="s">
        <v>44</v>
      </c>
      <c r="C48" s="10" t="s">
        <v>47</v>
      </c>
      <c r="D48" s="10" t="s">
        <v>169</v>
      </c>
      <c r="E48" s="8"/>
      <c r="F48" s="10"/>
      <c r="G48" s="10" t="s">
        <v>49</v>
      </c>
    </row>
    <row r="49" spans="2:7" x14ac:dyDescent="0.2">
      <c r="B49" s="11"/>
      <c r="C49" s="11"/>
      <c r="D49" s="11"/>
      <c r="E49" s="12"/>
      <c r="F49" s="11"/>
      <c r="G49" s="11"/>
    </row>
    <row r="50" spans="2:7" ht="15.95" customHeight="1" x14ac:dyDescent="0.2">
      <c r="B50" s="13">
        <v>0.01</v>
      </c>
      <c r="C50" s="13">
        <v>0</v>
      </c>
      <c r="D50" s="14">
        <f t="shared" ref="D50:D57" si="0">D13</f>
        <v>1.9199999999999998E-2</v>
      </c>
      <c r="E50" s="15"/>
      <c r="F50" s="13">
        <v>0.01</v>
      </c>
      <c r="G50" s="13">
        <f t="shared" ref="G50:G60" si="1">G13/2</f>
        <v>100.425</v>
      </c>
    </row>
    <row r="51" spans="2:7" ht="15.95" customHeight="1" x14ac:dyDescent="0.2">
      <c r="B51" s="13">
        <f t="shared" ref="B51:C57" si="2">B14/2</f>
        <v>142.72999999999999</v>
      </c>
      <c r="C51" s="13">
        <f t="shared" si="2"/>
        <v>2.7749999999999999</v>
      </c>
      <c r="D51" s="14">
        <f t="shared" si="0"/>
        <v>6.4000000000000001E-2</v>
      </c>
      <c r="E51" s="15"/>
      <c r="F51" s="13">
        <f t="shared" ref="F51:F60" si="3">F14/2</f>
        <v>436.43</v>
      </c>
      <c r="G51" s="13">
        <f t="shared" si="1"/>
        <v>100.35</v>
      </c>
    </row>
    <row r="52" spans="2:7" ht="15.95" customHeight="1" x14ac:dyDescent="0.2">
      <c r="B52" s="13">
        <f t="shared" si="2"/>
        <v>1211.405</v>
      </c>
      <c r="C52" s="13">
        <f t="shared" si="2"/>
        <v>71.099999999999994</v>
      </c>
      <c r="D52" s="14">
        <f t="shared" si="0"/>
        <v>0.10879999999999999</v>
      </c>
      <c r="E52" s="15"/>
      <c r="F52" s="13">
        <f t="shared" si="3"/>
        <v>654.6</v>
      </c>
      <c r="G52" s="13">
        <f t="shared" si="1"/>
        <v>100.35</v>
      </c>
    </row>
    <row r="53" spans="2:7" ht="15.95" customHeight="1" x14ac:dyDescent="0.2">
      <c r="B53" s="13">
        <f t="shared" si="2"/>
        <v>2128.9549999999999</v>
      </c>
      <c r="C53" s="13">
        <f t="shared" si="2"/>
        <v>170.92500000000001</v>
      </c>
      <c r="D53" s="14">
        <f t="shared" si="0"/>
        <v>0.16</v>
      </c>
      <c r="E53" s="15"/>
      <c r="F53" s="13">
        <f t="shared" si="3"/>
        <v>856.80499999999995</v>
      </c>
      <c r="G53" s="13">
        <f t="shared" si="1"/>
        <v>96.9</v>
      </c>
    </row>
    <row r="54" spans="2:7" ht="15.95" customHeight="1" x14ac:dyDescent="0.2">
      <c r="B54" s="13">
        <f t="shared" si="2"/>
        <v>2474.7800000000002</v>
      </c>
      <c r="C54" s="13">
        <f t="shared" si="2"/>
        <v>226.27500000000001</v>
      </c>
      <c r="D54" s="14">
        <f t="shared" si="0"/>
        <v>0.1792</v>
      </c>
      <c r="E54" s="15"/>
      <c r="F54" s="13">
        <f t="shared" si="3"/>
        <v>872.85500000000002</v>
      </c>
      <c r="G54" s="13">
        <f t="shared" si="1"/>
        <v>94.35</v>
      </c>
    </row>
    <row r="55" spans="2:7" ht="15.95" customHeight="1" x14ac:dyDescent="0.2">
      <c r="B55" s="13">
        <f t="shared" si="2"/>
        <v>2962.9549999999999</v>
      </c>
      <c r="C55" s="13">
        <f t="shared" si="2"/>
        <v>313.8</v>
      </c>
      <c r="D55" s="14">
        <f t="shared" si="0"/>
        <v>0.21360000000000001</v>
      </c>
      <c r="E55" s="15"/>
      <c r="F55" s="13">
        <f t="shared" si="3"/>
        <v>1096.8800000000001</v>
      </c>
      <c r="G55" s="13">
        <f t="shared" si="1"/>
        <v>87.375</v>
      </c>
    </row>
    <row r="56" spans="2:7" ht="15.95" customHeight="1" x14ac:dyDescent="0.2">
      <c r="B56" s="13">
        <f t="shared" si="2"/>
        <v>5975.93</v>
      </c>
      <c r="C56" s="13">
        <f t="shared" si="2"/>
        <v>957.375</v>
      </c>
      <c r="D56" s="14">
        <f t="shared" si="0"/>
        <v>0.23519999999999999</v>
      </c>
      <c r="E56" s="8"/>
      <c r="F56" s="13">
        <f t="shared" si="3"/>
        <v>1163.78</v>
      </c>
      <c r="G56" s="13">
        <f t="shared" si="1"/>
        <v>80.174999999999997</v>
      </c>
    </row>
    <row r="57" spans="2:7" ht="15.95" customHeight="1" x14ac:dyDescent="0.2">
      <c r="B57" s="13">
        <f t="shared" si="2"/>
        <v>9418.8799999999992</v>
      </c>
      <c r="C57" s="13">
        <f t="shared" si="2"/>
        <v>1767.15</v>
      </c>
      <c r="D57" s="14">
        <f t="shared" si="0"/>
        <v>0.3</v>
      </c>
      <c r="E57" s="8"/>
      <c r="F57" s="13">
        <f t="shared" si="3"/>
        <v>1316.33</v>
      </c>
      <c r="G57" s="13">
        <f t="shared" si="1"/>
        <v>72.674999999999997</v>
      </c>
    </row>
    <row r="58" spans="2:7" ht="15.95" customHeight="1" x14ac:dyDescent="0.2">
      <c r="B58" s="16"/>
      <c r="C58" s="16"/>
      <c r="D58" s="17"/>
      <c r="E58" s="8"/>
      <c r="F58" s="13">
        <f t="shared" si="3"/>
        <v>1535.7049999999999</v>
      </c>
      <c r="G58" s="13">
        <f t="shared" si="1"/>
        <v>62.55</v>
      </c>
    </row>
    <row r="59" spans="2:7" ht="15.95" customHeight="1" x14ac:dyDescent="0.2">
      <c r="E59" s="8"/>
      <c r="F59" s="13">
        <f t="shared" si="3"/>
        <v>1755.08</v>
      </c>
      <c r="G59" s="13">
        <f t="shared" si="1"/>
        <v>53.7</v>
      </c>
    </row>
    <row r="60" spans="2:7" ht="15.95" customHeight="1" x14ac:dyDescent="0.2">
      <c r="B60" s="8"/>
      <c r="C60" s="8"/>
      <c r="D60" s="8"/>
      <c r="E60" s="8"/>
      <c r="F60" s="13">
        <f t="shared" si="3"/>
        <v>1821.3050000000001</v>
      </c>
      <c r="G60" s="13">
        <f t="shared" si="1"/>
        <v>0</v>
      </c>
    </row>
    <row r="61" spans="2:7" x14ac:dyDescent="0.2">
      <c r="B61" s="8"/>
      <c r="C61" s="8"/>
      <c r="D61" s="8"/>
      <c r="E61" s="8"/>
      <c r="F61" s="18"/>
      <c r="G61" s="18"/>
    </row>
  </sheetData>
  <sheetProtection password="CE24" sheet="1" objects="1" scenarios="1" formatCells="0" formatColumns="0" formatRows="0" insertColumns="0" insertRows="0" insertHyperlinks="0" deleteColumns="0" deleteRows="0" sort="0" autoFilter="0" pivotTables="0"/>
  <mergeCells count="12">
    <mergeCell ref="F7:G7"/>
    <mergeCell ref="F9:G9"/>
    <mergeCell ref="B8:D8"/>
    <mergeCell ref="F8:G8"/>
    <mergeCell ref="B7:D7"/>
    <mergeCell ref="B9:D9"/>
    <mergeCell ref="B46:D46"/>
    <mergeCell ref="F46:G46"/>
    <mergeCell ref="B44:D44"/>
    <mergeCell ref="F44:G44"/>
    <mergeCell ref="B45:D45"/>
    <mergeCell ref="F45:G45"/>
  </mergeCells>
  <phoneticPr fontId="0" type="noConversion"/>
  <pageMargins left="0.75" right="0.75" top="1" bottom="1" header="0" footer="0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09"/>
  <sheetViews>
    <sheetView zoomScaleNormal="100" workbookViewId="0">
      <pane xSplit="2" ySplit="3" topLeftCell="AE44" activePane="bottomRight" state="frozen"/>
      <selection pane="topRight" activeCell="C1" sqref="C1"/>
      <selection pane="bottomLeft" activeCell="A4" sqref="A4"/>
      <selection pane="bottomRight" activeCell="AH49" sqref="AH49"/>
    </sheetView>
  </sheetViews>
  <sheetFormatPr baseColWidth="10" defaultColWidth="11.42578125" defaultRowHeight="12.75" x14ac:dyDescent="0.2"/>
  <cols>
    <col min="1" max="1" width="3.28515625" style="65" customWidth="1"/>
    <col min="2" max="2" width="22.7109375" style="110" customWidth="1"/>
    <col min="3" max="3" width="11.42578125" style="47"/>
    <col min="4" max="4" width="9.7109375" style="47" customWidth="1"/>
    <col min="5" max="6" width="9.28515625" style="47" customWidth="1"/>
    <col min="7" max="7" width="10" style="47" customWidth="1"/>
    <col min="8" max="8" width="9.85546875" style="47" customWidth="1"/>
    <col min="9" max="9" width="9.7109375" style="47" customWidth="1"/>
    <col min="10" max="10" width="8.7109375" style="47" customWidth="1"/>
    <col min="11" max="11" width="9.28515625" style="47" customWidth="1"/>
    <col min="12" max="12" width="9.7109375" style="47" customWidth="1"/>
    <col min="13" max="13" width="3" customWidth="1"/>
    <col min="14" max="15" width="11.42578125" style="55"/>
    <col min="16" max="16" width="11.42578125" style="79"/>
    <col min="17" max="17" width="11.42578125" style="55"/>
    <col min="18" max="18" width="11.42578125" style="79"/>
    <col min="19" max="19" width="11.42578125" style="55"/>
    <col min="20" max="20" width="11.42578125" style="79"/>
    <col min="21" max="21" width="11.42578125" style="55"/>
    <col min="22" max="22" width="9.140625" style="55" customWidth="1"/>
    <col min="23" max="23" width="10.7109375" style="55" customWidth="1"/>
    <col min="24" max="24" width="2" style="55" customWidth="1"/>
    <col min="25" max="25" width="8.28515625" style="59" customWidth="1"/>
    <col min="26" max="26" width="8" style="59" customWidth="1"/>
    <col min="27" max="27" width="7.85546875" style="59" customWidth="1"/>
    <col min="28" max="28" width="10" style="59" customWidth="1"/>
    <col min="29" max="29" width="8.85546875" style="59" customWidth="1"/>
    <col min="30" max="30" width="10.28515625" style="59" customWidth="1"/>
    <col min="31" max="31" width="10" style="59" customWidth="1"/>
    <col min="32" max="32" width="8.7109375" style="59" customWidth="1"/>
    <col min="33" max="33" width="10.42578125" style="97" customWidth="1"/>
    <col min="34" max="34" width="10.140625" style="145" customWidth="1"/>
    <col min="35" max="35" width="10.140625" style="95" customWidth="1"/>
    <col min="36" max="36" width="10.140625" style="138" customWidth="1"/>
    <col min="37" max="37" width="8.85546875" style="81" customWidth="1"/>
    <col min="38" max="38" width="11.7109375" style="99" customWidth="1"/>
    <col min="39" max="39" width="10.42578125" style="94" customWidth="1"/>
  </cols>
  <sheetData>
    <row r="1" spans="1:40" ht="13.15" customHeight="1" x14ac:dyDescent="0.2">
      <c r="A1" s="63"/>
      <c r="B1" s="103"/>
      <c r="C1" s="36" t="s">
        <v>1</v>
      </c>
      <c r="D1" s="24" t="s">
        <v>2</v>
      </c>
      <c r="E1" s="624" t="s">
        <v>3</v>
      </c>
      <c r="F1" s="625"/>
      <c r="G1" s="625"/>
      <c r="H1" s="625"/>
      <c r="I1" s="625"/>
      <c r="J1" s="625"/>
      <c r="K1" s="625"/>
      <c r="L1" s="626"/>
      <c r="M1" s="25"/>
      <c r="N1" s="67" t="s">
        <v>4</v>
      </c>
      <c r="O1" s="68"/>
      <c r="P1" s="627" t="s">
        <v>5</v>
      </c>
      <c r="Q1" s="628"/>
      <c r="R1" s="628"/>
      <c r="S1" s="628"/>
      <c r="T1" s="628"/>
      <c r="U1" s="629"/>
      <c r="V1" s="67" t="s">
        <v>6</v>
      </c>
      <c r="W1" s="67" t="s">
        <v>7</v>
      </c>
      <c r="X1" s="54"/>
      <c r="Y1" s="24" t="s">
        <v>8</v>
      </c>
      <c r="Z1" s="624" t="s">
        <v>9</v>
      </c>
      <c r="AA1" s="625"/>
      <c r="AB1" s="625"/>
      <c r="AC1" s="625"/>
      <c r="AD1" s="625"/>
      <c r="AE1" s="625"/>
      <c r="AF1" s="626"/>
      <c r="AG1" s="635" t="s">
        <v>227</v>
      </c>
      <c r="AH1" s="142" t="s">
        <v>10</v>
      </c>
      <c r="AI1" s="636" t="s">
        <v>226</v>
      </c>
      <c r="AJ1" s="135"/>
      <c r="AK1" s="630" t="s">
        <v>228</v>
      </c>
      <c r="AM1" s="623" t="s">
        <v>227</v>
      </c>
    </row>
    <row r="2" spans="1:40" ht="22.5" x14ac:dyDescent="0.2">
      <c r="A2" s="27" t="s">
        <v>11</v>
      </c>
      <c r="B2" s="134" t="s">
        <v>12</v>
      </c>
      <c r="C2" s="37" t="s">
        <v>13</v>
      </c>
      <c r="D2" s="27" t="s">
        <v>14</v>
      </c>
      <c r="E2" s="24" t="s">
        <v>2</v>
      </c>
      <c r="F2" s="24" t="s">
        <v>15</v>
      </c>
      <c r="G2" s="24" t="s">
        <v>15</v>
      </c>
      <c r="H2" s="24" t="s">
        <v>16</v>
      </c>
      <c r="I2" s="24" t="s">
        <v>4</v>
      </c>
      <c r="J2" s="24" t="s">
        <v>17</v>
      </c>
      <c r="K2" s="24" t="s">
        <v>17</v>
      </c>
      <c r="L2" s="24" t="s">
        <v>18</v>
      </c>
      <c r="M2" s="25"/>
      <c r="N2" s="69" t="s">
        <v>19</v>
      </c>
      <c r="O2" s="68" t="s">
        <v>20</v>
      </c>
      <c r="P2" s="75" t="s">
        <v>21</v>
      </c>
      <c r="Q2" s="68" t="s">
        <v>22</v>
      </c>
      <c r="R2" s="75" t="s">
        <v>23</v>
      </c>
      <c r="S2" s="68" t="s">
        <v>24</v>
      </c>
      <c r="T2" s="75" t="s">
        <v>25</v>
      </c>
      <c r="U2" s="68" t="s">
        <v>7</v>
      </c>
      <c r="V2" s="69" t="s">
        <v>26</v>
      </c>
      <c r="W2" s="69" t="s">
        <v>27</v>
      </c>
      <c r="X2" s="54"/>
      <c r="Y2" s="27" t="s">
        <v>28</v>
      </c>
      <c r="Z2" s="24" t="s">
        <v>29</v>
      </c>
      <c r="AA2" s="633" t="s">
        <v>30</v>
      </c>
      <c r="AB2" s="24" t="s">
        <v>32</v>
      </c>
      <c r="AC2" s="24" t="s">
        <v>31</v>
      </c>
      <c r="AD2" s="36" t="s">
        <v>32</v>
      </c>
      <c r="AE2" s="633" t="s">
        <v>181</v>
      </c>
      <c r="AF2" s="41" t="s">
        <v>33</v>
      </c>
      <c r="AG2" s="635"/>
      <c r="AH2" s="143" t="s">
        <v>34</v>
      </c>
      <c r="AI2" s="637"/>
      <c r="AJ2" s="136" t="s">
        <v>225</v>
      </c>
      <c r="AK2" s="631"/>
      <c r="AM2" s="623"/>
    </row>
    <row r="3" spans="1:40" x14ac:dyDescent="0.2">
      <c r="A3" s="29"/>
      <c r="B3" s="104"/>
      <c r="C3" s="38"/>
      <c r="D3" s="29"/>
      <c r="E3" s="29" t="s">
        <v>36</v>
      </c>
      <c r="F3" s="29" t="s">
        <v>37</v>
      </c>
      <c r="G3" s="29" t="s">
        <v>38</v>
      </c>
      <c r="H3" s="29"/>
      <c r="I3" s="29" t="s">
        <v>19</v>
      </c>
      <c r="J3" s="29" t="s">
        <v>39</v>
      </c>
      <c r="K3" s="29" t="s">
        <v>40</v>
      </c>
      <c r="L3" s="29" t="s">
        <v>41</v>
      </c>
      <c r="M3" s="25"/>
      <c r="N3" s="70" t="s">
        <v>42</v>
      </c>
      <c r="O3" s="67" t="s">
        <v>43</v>
      </c>
      <c r="P3" s="76" t="s">
        <v>44</v>
      </c>
      <c r="Q3" s="67" t="s">
        <v>45</v>
      </c>
      <c r="R3" s="76" t="s">
        <v>45</v>
      </c>
      <c r="S3" s="67" t="s">
        <v>46</v>
      </c>
      <c r="T3" s="76" t="s">
        <v>47</v>
      </c>
      <c r="U3" s="67" t="s">
        <v>48</v>
      </c>
      <c r="V3" s="69" t="s">
        <v>49</v>
      </c>
      <c r="W3" s="71" t="s">
        <v>50</v>
      </c>
      <c r="X3" s="66"/>
      <c r="Y3" s="29" t="s">
        <v>51</v>
      </c>
      <c r="Z3" s="29"/>
      <c r="AA3" s="634"/>
      <c r="AB3" s="29" t="s">
        <v>182</v>
      </c>
      <c r="AC3" s="29" t="s">
        <v>52</v>
      </c>
      <c r="AD3" s="38" t="s">
        <v>53</v>
      </c>
      <c r="AE3" s="634"/>
      <c r="AF3" s="42" t="s">
        <v>54</v>
      </c>
      <c r="AG3" s="635"/>
      <c r="AH3" s="144" t="s">
        <v>55</v>
      </c>
      <c r="AI3" s="638"/>
      <c r="AJ3" s="137"/>
      <c r="AK3" s="632"/>
      <c r="AM3" s="623"/>
    </row>
    <row r="4" spans="1:40" ht="5.45" customHeight="1" x14ac:dyDescent="0.2">
      <c r="AG4" s="111"/>
      <c r="AK4" s="112"/>
      <c r="AM4" s="113"/>
    </row>
    <row r="5" spans="1:40" ht="22.5" x14ac:dyDescent="0.2">
      <c r="A5" s="117">
        <v>1</v>
      </c>
      <c r="B5" s="107" t="s">
        <v>201</v>
      </c>
      <c r="C5" s="62" t="s">
        <v>69</v>
      </c>
      <c r="D5" s="118">
        <f>E5/15</f>
        <v>1530.8</v>
      </c>
      <c r="E5" s="119">
        <f>AK5</f>
        <v>22962</v>
      </c>
      <c r="F5" s="118">
        <v>0</v>
      </c>
      <c r="G5" s="118">
        <v>0</v>
      </c>
      <c r="H5" s="118">
        <v>0</v>
      </c>
      <c r="I5" s="118">
        <v>0</v>
      </c>
      <c r="J5" s="118"/>
      <c r="K5" s="118">
        <v>0</v>
      </c>
      <c r="L5" s="120">
        <f t="shared" ref="L5:L68" si="0">E5+K5+Y5</f>
        <v>22962</v>
      </c>
      <c r="M5" s="121"/>
      <c r="N5" s="121">
        <f t="shared" ref="N5:N37" si="1">IF(D5=47.16,0,IF(D5&gt;47.16,I5*0.5,0))</f>
        <v>0</v>
      </c>
      <c r="O5" s="121">
        <f t="shared" ref="O5:O69" si="2">E5+F5+G5+J5+N5+H5</f>
        <v>22962</v>
      </c>
      <c r="P5" s="122">
        <v>18837.759999999998</v>
      </c>
      <c r="Q5" s="121">
        <f t="shared" ref="Q5:Q69" si="3">O5-P5</f>
        <v>4124.2400000000016</v>
      </c>
      <c r="R5" s="122">
        <v>0.3</v>
      </c>
      <c r="S5" s="121">
        <f t="shared" ref="S5:S69" si="4">Q5*R5</f>
        <v>1237.2720000000004</v>
      </c>
      <c r="T5" s="122">
        <v>3534.3</v>
      </c>
      <c r="U5" s="121">
        <f t="shared" ref="U5:U69" si="5">S5+T5</f>
        <v>4771.5720000000001</v>
      </c>
      <c r="V5" s="121">
        <f t="shared" ref="V5:V37" si="6">VLOOKUP(O5,Credito1,2)</f>
        <v>0</v>
      </c>
      <c r="W5" s="121">
        <f t="shared" ref="W5:W68" si="7">U5-V5</f>
        <v>4771.5720000000001</v>
      </c>
      <c r="X5" s="121"/>
      <c r="Y5" s="123"/>
      <c r="Z5" s="123">
        <f>W5</f>
        <v>4771.5720000000001</v>
      </c>
      <c r="AA5" s="124"/>
      <c r="AB5" s="124"/>
      <c r="AC5" s="124"/>
      <c r="AD5" s="123"/>
      <c r="AE5" s="124"/>
      <c r="AF5" s="124">
        <f>AE5+AC5+AA5+Z5+AD5+AB5</f>
        <v>4771.5720000000001</v>
      </c>
      <c r="AG5" s="96">
        <f>(AH5*0.03)+AH5</f>
        <v>18736.14084</v>
      </c>
      <c r="AH5" s="146">
        <f>E5-AF5</f>
        <v>18190.428</v>
      </c>
      <c r="AI5" s="125">
        <f>AK5*2</f>
        <v>45924</v>
      </c>
      <c r="AJ5" s="139">
        <f>(AK5*0.03)+AK5</f>
        <v>23650.86</v>
      </c>
      <c r="AK5" s="80">
        <v>22962</v>
      </c>
      <c r="AL5" s="126">
        <f t="shared" ref="AL5:AL16" si="8">AK5-AF5</f>
        <v>18190.428</v>
      </c>
      <c r="AM5" s="93">
        <v>18190.343839999998</v>
      </c>
    </row>
    <row r="6" spans="1:40" ht="14.25" x14ac:dyDescent="0.2">
      <c r="A6" s="127">
        <v>2</v>
      </c>
      <c r="B6" s="107" t="s">
        <v>197</v>
      </c>
      <c r="C6" s="128" t="s">
        <v>59</v>
      </c>
      <c r="D6" s="118">
        <f t="shared" ref="D6:D69" si="9">E6/15</f>
        <v>1169.6333333333334</v>
      </c>
      <c r="E6" s="119">
        <f t="shared" ref="E6:E69" si="10">AK6</f>
        <v>17544.5</v>
      </c>
      <c r="F6" s="118">
        <v>0</v>
      </c>
      <c r="G6" s="118">
        <v>0</v>
      </c>
      <c r="H6" s="129">
        <v>0</v>
      </c>
      <c r="I6" s="129">
        <v>0</v>
      </c>
      <c r="J6" s="118"/>
      <c r="K6" s="118">
        <v>0</v>
      </c>
      <c r="L6" s="120">
        <f t="shared" si="0"/>
        <v>17544.5</v>
      </c>
      <c r="M6" s="130"/>
      <c r="N6" s="131">
        <f t="shared" si="1"/>
        <v>0</v>
      </c>
      <c r="O6" s="121">
        <f t="shared" si="2"/>
        <v>17544.5</v>
      </c>
      <c r="P6" s="132">
        <v>11951.86</v>
      </c>
      <c r="Q6" s="121">
        <f t="shared" si="3"/>
        <v>5592.6399999999994</v>
      </c>
      <c r="R6" s="132">
        <v>0.23519999999999999</v>
      </c>
      <c r="S6" s="121">
        <f t="shared" si="4"/>
        <v>1315.3889279999999</v>
      </c>
      <c r="T6" s="132">
        <v>1914.75</v>
      </c>
      <c r="U6" s="121">
        <f t="shared" si="5"/>
        <v>3230.1389279999999</v>
      </c>
      <c r="V6" s="131">
        <f t="shared" si="6"/>
        <v>0</v>
      </c>
      <c r="W6" s="121">
        <f t="shared" si="7"/>
        <v>3230.1389279999999</v>
      </c>
      <c r="X6" s="131"/>
      <c r="Y6" s="133">
        <f t="shared" ref="Y6:Y70" si="11">-IF(W6&gt;0,0,W6)</f>
        <v>0</v>
      </c>
      <c r="Z6" s="123">
        <f t="shared" ref="Z6:Z69" si="12">W6</f>
        <v>3230.1389279999999</v>
      </c>
      <c r="AA6" s="124"/>
      <c r="AB6" s="124"/>
      <c r="AC6" s="124"/>
      <c r="AD6" s="123"/>
      <c r="AE6" s="124"/>
      <c r="AF6" s="124">
        <f t="shared" ref="AF6:AF69" si="13">AE6+AC6+AA6+Z6+AD6+AB6</f>
        <v>3230.1389279999999</v>
      </c>
      <c r="AG6" s="96">
        <f t="shared" ref="AG6:AG68" si="14">(AH6*0.03)+AH6</f>
        <v>14743.79190416</v>
      </c>
      <c r="AH6" s="146">
        <f t="shared" ref="AH6:AH69" si="15">E6-AF6</f>
        <v>14314.361072</v>
      </c>
      <c r="AI6" s="125">
        <f t="shared" ref="AI6:AI69" si="16">AK6*2</f>
        <v>35089</v>
      </c>
      <c r="AJ6" s="139">
        <f t="shared" ref="AJ6:AJ69" si="17">(AK6*0.03)+AK6</f>
        <v>18070.834999999999</v>
      </c>
      <c r="AK6" s="80">
        <v>17544.5</v>
      </c>
      <c r="AL6" s="126">
        <f t="shared" si="8"/>
        <v>14314.361072</v>
      </c>
      <c r="AM6" s="93">
        <v>14314.86529616</v>
      </c>
      <c r="AN6" s="141"/>
    </row>
    <row r="7" spans="1:40" ht="14.25" x14ac:dyDescent="0.2">
      <c r="A7" s="48">
        <v>3</v>
      </c>
      <c r="B7" s="105" t="s">
        <v>189</v>
      </c>
      <c r="C7" s="58" t="s">
        <v>57</v>
      </c>
      <c r="D7" s="52">
        <f t="shared" si="9"/>
        <v>860.7</v>
      </c>
      <c r="E7" s="57">
        <f t="shared" si="10"/>
        <v>12910.5</v>
      </c>
      <c r="F7" s="52">
        <v>0</v>
      </c>
      <c r="G7" s="52">
        <v>0</v>
      </c>
      <c r="H7" s="49">
        <v>0</v>
      </c>
      <c r="I7" s="49">
        <v>0</v>
      </c>
      <c r="J7" s="52"/>
      <c r="K7" s="52">
        <v>0</v>
      </c>
      <c r="L7" s="46">
        <f t="shared" si="0"/>
        <v>12910.5</v>
      </c>
      <c r="M7" s="35"/>
      <c r="N7" s="56">
        <f t="shared" si="1"/>
        <v>0</v>
      </c>
      <c r="O7" s="45">
        <f t="shared" si="2"/>
        <v>12910.5</v>
      </c>
      <c r="P7" s="77">
        <v>11951.86</v>
      </c>
      <c r="Q7" s="45">
        <f t="shared" si="3"/>
        <v>958.63999999999942</v>
      </c>
      <c r="R7" s="78">
        <v>0.23519999999999999</v>
      </c>
      <c r="S7" s="45">
        <f t="shared" si="4"/>
        <v>225.47212799999986</v>
      </c>
      <c r="T7" s="78">
        <v>1914.75</v>
      </c>
      <c r="U7" s="45">
        <f t="shared" si="5"/>
        <v>2140.2221279999999</v>
      </c>
      <c r="V7" s="56">
        <f t="shared" si="6"/>
        <v>0</v>
      </c>
      <c r="W7" s="45">
        <f t="shared" si="7"/>
        <v>2140.2221279999999</v>
      </c>
      <c r="X7" s="51"/>
      <c r="Y7" s="74">
        <f t="shared" si="11"/>
        <v>0</v>
      </c>
      <c r="Z7" s="72">
        <f t="shared" si="12"/>
        <v>2140.2221279999999</v>
      </c>
      <c r="AA7" s="73"/>
      <c r="AB7" s="73"/>
      <c r="AC7" s="73"/>
      <c r="AD7" s="72"/>
      <c r="AE7" s="73"/>
      <c r="AF7" s="92">
        <f t="shared" si="13"/>
        <v>2140.2221279999999</v>
      </c>
      <c r="AG7" s="114">
        <f t="shared" si="14"/>
        <v>11093.38620816</v>
      </c>
      <c r="AH7" s="147">
        <f t="shared" si="15"/>
        <v>10770.277872000001</v>
      </c>
      <c r="AI7" s="125">
        <f t="shared" si="16"/>
        <v>25821</v>
      </c>
      <c r="AJ7" s="140">
        <f t="shared" si="17"/>
        <v>13297.815000000001</v>
      </c>
      <c r="AK7" s="115">
        <v>12910.5</v>
      </c>
      <c r="AL7" s="100">
        <f t="shared" si="8"/>
        <v>10770.277872000001</v>
      </c>
      <c r="AM7" s="116">
        <v>10770.01729616</v>
      </c>
    </row>
    <row r="8" spans="1:40" ht="14.25" x14ac:dyDescent="0.2">
      <c r="A8" s="48">
        <v>4</v>
      </c>
      <c r="B8" s="105" t="s">
        <v>190</v>
      </c>
      <c r="C8" s="58" t="s">
        <v>57</v>
      </c>
      <c r="D8" s="52">
        <f t="shared" si="9"/>
        <v>860.7</v>
      </c>
      <c r="E8" s="57">
        <f t="shared" si="10"/>
        <v>12910.5</v>
      </c>
      <c r="F8" s="52">
        <v>0</v>
      </c>
      <c r="G8" s="52">
        <v>0</v>
      </c>
      <c r="H8" s="49">
        <v>0</v>
      </c>
      <c r="I8" s="49">
        <v>0</v>
      </c>
      <c r="J8" s="52"/>
      <c r="K8" s="52">
        <v>0</v>
      </c>
      <c r="L8" s="46">
        <f t="shared" si="0"/>
        <v>12910.5</v>
      </c>
      <c r="M8" s="35"/>
      <c r="N8" s="56">
        <f t="shared" si="1"/>
        <v>0</v>
      </c>
      <c r="O8" s="45">
        <f t="shared" si="2"/>
        <v>12910.5</v>
      </c>
      <c r="P8" s="77">
        <v>11951.86</v>
      </c>
      <c r="Q8" s="45">
        <f t="shared" si="3"/>
        <v>958.63999999999942</v>
      </c>
      <c r="R8" s="78">
        <v>0.23519999999999999</v>
      </c>
      <c r="S8" s="45">
        <f t="shared" si="4"/>
        <v>225.47212799999986</v>
      </c>
      <c r="T8" s="78">
        <v>1914.75</v>
      </c>
      <c r="U8" s="45">
        <f t="shared" si="5"/>
        <v>2140.2221279999999</v>
      </c>
      <c r="V8" s="56">
        <f t="shared" si="6"/>
        <v>0</v>
      </c>
      <c r="W8" s="45">
        <f t="shared" si="7"/>
        <v>2140.2221279999999</v>
      </c>
      <c r="X8" s="51"/>
      <c r="Y8" s="74">
        <f t="shared" si="11"/>
        <v>0</v>
      </c>
      <c r="Z8" s="72">
        <f t="shared" si="12"/>
        <v>2140.2221279999999</v>
      </c>
      <c r="AA8" s="73"/>
      <c r="AB8" s="73"/>
      <c r="AC8" s="73"/>
      <c r="AD8" s="72"/>
      <c r="AE8" s="73"/>
      <c r="AF8" s="92">
        <f t="shared" si="13"/>
        <v>2140.2221279999999</v>
      </c>
      <c r="AG8" s="96">
        <f t="shared" si="14"/>
        <v>11093.38620816</v>
      </c>
      <c r="AH8" s="147">
        <f t="shared" si="15"/>
        <v>10770.277872000001</v>
      </c>
      <c r="AI8" s="125">
        <f t="shared" si="16"/>
        <v>25821</v>
      </c>
      <c r="AJ8" s="140">
        <f t="shared" si="17"/>
        <v>13297.815000000001</v>
      </c>
      <c r="AK8" s="80">
        <v>12910.5</v>
      </c>
      <c r="AL8" s="100">
        <f t="shared" si="8"/>
        <v>10770.277872000001</v>
      </c>
      <c r="AM8" s="93">
        <v>10770.01729616</v>
      </c>
    </row>
    <row r="9" spans="1:40" ht="14.25" x14ac:dyDescent="0.2">
      <c r="A9" s="48">
        <v>5</v>
      </c>
      <c r="B9" s="105" t="s">
        <v>191</v>
      </c>
      <c r="C9" s="58" t="s">
        <v>57</v>
      </c>
      <c r="D9" s="52">
        <f t="shared" si="9"/>
        <v>860.7</v>
      </c>
      <c r="E9" s="57">
        <f t="shared" si="10"/>
        <v>12910.5</v>
      </c>
      <c r="F9" s="52">
        <v>0</v>
      </c>
      <c r="G9" s="52">
        <v>0</v>
      </c>
      <c r="H9" s="49">
        <v>0</v>
      </c>
      <c r="I9" s="49">
        <v>0</v>
      </c>
      <c r="J9" s="52"/>
      <c r="K9" s="52">
        <v>0</v>
      </c>
      <c r="L9" s="46">
        <f t="shared" si="0"/>
        <v>12910.5</v>
      </c>
      <c r="M9" s="35"/>
      <c r="N9" s="56">
        <f t="shared" si="1"/>
        <v>0</v>
      </c>
      <c r="O9" s="45">
        <f t="shared" si="2"/>
        <v>12910.5</v>
      </c>
      <c r="P9" s="77">
        <v>11951.86</v>
      </c>
      <c r="Q9" s="45">
        <f t="shared" si="3"/>
        <v>958.63999999999942</v>
      </c>
      <c r="R9" s="78">
        <v>0.23519999999999999</v>
      </c>
      <c r="S9" s="45">
        <f t="shared" si="4"/>
        <v>225.47212799999986</v>
      </c>
      <c r="T9" s="78">
        <v>1914.75</v>
      </c>
      <c r="U9" s="45">
        <f t="shared" si="5"/>
        <v>2140.2221279999999</v>
      </c>
      <c r="V9" s="56">
        <f t="shared" si="6"/>
        <v>0</v>
      </c>
      <c r="W9" s="45">
        <f t="shared" si="7"/>
        <v>2140.2221279999999</v>
      </c>
      <c r="X9" s="51"/>
      <c r="Y9" s="74">
        <f t="shared" si="11"/>
        <v>0</v>
      </c>
      <c r="Z9" s="72">
        <f t="shared" si="12"/>
        <v>2140.2221279999999</v>
      </c>
      <c r="AA9" s="73"/>
      <c r="AB9" s="73"/>
      <c r="AC9" s="73"/>
      <c r="AD9" s="72"/>
      <c r="AE9" s="73"/>
      <c r="AF9" s="92">
        <f t="shared" si="13"/>
        <v>2140.2221279999999</v>
      </c>
      <c r="AG9" s="96">
        <f t="shared" si="14"/>
        <v>11093.38620816</v>
      </c>
      <c r="AH9" s="147">
        <f t="shared" si="15"/>
        <v>10770.277872000001</v>
      </c>
      <c r="AI9" s="125">
        <f t="shared" si="16"/>
        <v>25821</v>
      </c>
      <c r="AJ9" s="140">
        <f t="shared" si="17"/>
        <v>13297.815000000001</v>
      </c>
      <c r="AK9" s="80">
        <v>12910.5</v>
      </c>
      <c r="AL9" s="100">
        <f t="shared" si="8"/>
        <v>10770.277872000001</v>
      </c>
      <c r="AM9" s="93">
        <v>10770.01729616</v>
      </c>
    </row>
    <row r="10" spans="1:40" ht="14.25" x14ac:dyDescent="0.2">
      <c r="A10" s="64">
        <v>6</v>
      </c>
      <c r="B10" s="105" t="s">
        <v>192</v>
      </c>
      <c r="C10" s="58" t="s">
        <v>57</v>
      </c>
      <c r="D10" s="52">
        <f t="shared" si="9"/>
        <v>860.7</v>
      </c>
      <c r="E10" s="57">
        <f t="shared" si="10"/>
        <v>12910.5</v>
      </c>
      <c r="F10" s="52">
        <v>0</v>
      </c>
      <c r="G10" s="52">
        <v>0</v>
      </c>
      <c r="H10" s="49">
        <v>0</v>
      </c>
      <c r="I10" s="49">
        <v>0</v>
      </c>
      <c r="J10" s="52"/>
      <c r="K10" s="52">
        <v>0</v>
      </c>
      <c r="L10" s="46">
        <f t="shared" si="0"/>
        <v>12910.5</v>
      </c>
      <c r="M10" s="35"/>
      <c r="N10" s="56">
        <f t="shared" si="1"/>
        <v>0</v>
      </c>
      <c r="O10" s="45">
        <f t="shared" si="2"/>
        <v>12910.5</v>
      </c>
      <c r="P10" s="77">
        <v>11951.86</v>
      </c>
      <c r="Q10" s="45">
        <f t="shared" si="3"/>
        <v>958.63999999999942</v>
      </c>
      <c r="R10" s="78">
        <v>0.23519999999999999</v>
      </c>
      <c r="S10" s="45">
        <f t="shared" si="4"/>
        <v>225.47212799999986</v>
      </c>
      <c r="T10" s="78">
        <v>1914.75</v>
      </c>
      <c r="U10" s="45">
        <f t="shared" si="5"/>
        <v>2140.2221279999999</v>
      </c>
      <c r="V10" s="56">
        <f t="shared" si="6"/>
        <v>0</v>
      </c>
      <c r="W10" s="45">
        <f t="shared" si="7"/>
        <v>2140.2221279999999</v>
      </c>
      <c r="X10" s="51"/>
      <c r="Y10" s="74">
        <f t="shared" si="11"/>
        <v>0</v>
      </c>
      <c r="Z10" s="72">
        <f t="shared" si="12"/>
        <v>2140.2221279999999</v>
      </c>
      <c r="AA10" s="73"/>
      <c r="AB10" s="73"/>
      <c r="AC10" s="73"/>
      <c r="AD10" s="72"/>
      <c r="AE10" s="73"/>
      <c r="AF10" s="92">
        <f t="shared" si="13"/>
        <v>2140.2221279999999</v>
      </c>
      <c r="AG10" s="96">
        <f t="shared" si="14"/>
        <v>11093.38620816</v>
      </c>
      <c r="AH10" s="148">
        <f>E10-AF10</f>
        <v>10770.277872000001</v>
      </c>
      <c r="AI10" s="125">
        <f t="shared" si="16"/>
        <v>25821</v>
      </c>
      <c r="AJ10" s="140">
        <f t="shared" si="17"/>
        <v>13297.815000000001</v>
      </c>
      <c r="AK10" s="80">
        <v>12910.5</v>
      </c>
      <c r="AL10" s="100">
        <f t="shared" si="8"/>
        <v>10770.277872000001</v>
      </c>
      <c r="AM10" s="93">
        <v>10770.01729616</v>
      </c>
    </row>
    <row r="11" spans="1:40" ht="14.25" x14ac:dyDescent="0.2">
      <c r="A11" s="50">
        <v>7</v>
      </c>
      <c r="B11" s="106" t="s">
        <v>193</v>
      </c>
      <c r="C11" s="58" t="s">
        <v>57</v>
      </c>
      <c r="D11" s="52">
        <f t="shared" si="9"/>
        <v>860.7</v>
      </c>
      <c r="E11" s="57">
        <f t="shared" si="10"/>
        <v>12910.5</v>
      </c>
      <c r="F11" s="52">
        <v>0</v>
      </c>
      <c r="G11" s="52">
        <v>0</v>
      </c>
      <c r="H11" s="49">
        <v>0</v>
      </c>
      <c r="I11" s="49">
        <v>0</v>
      </c>
      <c r="J11" s="52"/>
      <c r="K11" s="52">
        <v>0</v>
      </c>
      <c r="L11" s="46">
        <f t="shared" si="0"/>
        <v>12910.5</v>
      </c>
      <c r="M11" s="35"/>
      <c r="N11" s="56">
        <f t="shared" si="1"/>
        <v>0</v>
      </c>
      <c r="O11" s="45">
        <f t="shared" si="2"/>
        <v>12910.5</v>
      </c>
      <c r="P11" s="77">
        <v>11951.86</v>
      </c>
      <c r="Q11" s="45">
        <f t="shared" si="3"/>
        <v>958.63999999999942</v>
      </c>
      <c r="R11" s="78">
        <v>0.23519999999999999</v>
      </c>
      <c r="S11" s="45">
        <f t="shared" si="4"/>
        <v>225.47212799999986</v>
      </c>
      <c r="T11" s="78">
        <v>1914.75</v>
      </c>
      <c r="U11" s="45">
        <f t="shared" si="5"/>
        <v>2140.2221279999999</v>
      </c>
      <c r="V11" s="56">
        <f t="shared" si="6"/>
        <v>0</v>
      </c>
      <c r="W11" s="45">
        <f t="shared" si="7"/>
        <v>2140.2221279999999</v>
      </c>
      <c r="X11" s="51"/>
      <c r="Y11" s="74">
        <f t="shared" si="11"/>
        <v>0</v>
      </c>
      <c r="Z11" s="72">
        <f t="shared" si="12"/>
        <v>2140.2221279999999</v>
      </c>
      <c r="AA11" s="73"/>
      <c r="AB11" s="73"/>
      <c r="AC11" s="73"/>
      <c r="AD11" s="72"/>
      <c r="AE11" s="73"/>
      <c r="AF11" s="92">
        <f t="shared" si="13"/>
        <v>2140.2221279999999</v>
      </c>
      <c r="AG11" s="96">
        <f t="shared" si="14"/>
        <v>11093.38620816</v>
      </c>
      <c r="AH11" s="147">
        <f t="shared" si="15"/>
        <v>10770.277872000001</v>
      </c>
      <c r="AI11" s="125">
        <f t="shared" si="16"/>
        <v>25821</v>
      </c>
      <c r="AJ11" s="140">
        <f t="shared" si="17"/>
        <v>13297.815000000001</v>
      </c>
      <c r="AK11" s="80">
        <v>12910.5</v>
      </c>
      <c r="AL11" s="100">
        <f t="shared" si="8"/>
        <v>10770.277872000001</v>
      </c>
      <c r="AM11" s="93">
        <v>10770.01729616</v>
      </c>
    </row>
    <row r="12" spans="1:40" ht="14.25" x14ac:dyDescent="0.2">
      <c r="A12" s="48">
        <v>8</v>
      </c>
      <c r="B12" s="106" t="s">
        <v>194</v>
      </c>
      <c r="C12" s="58" t="s">
        <v>57</v>
      </c>
      <c r="D12" s="52">
        <f t="shared" si="9"/>
        <v>860.7</v>
      </c>
      <c r="E12" s="57">
        <f t="shared" si="10"/>
        <v>12910.5</v>
      </c>
      <c r="F12" s="52">
        <v>0</v>
      </c>
      <c r="G12" s="52">
        <v>0</v>
      </c>
      <c r="H12" s="49">
        <v>0</v>
      </c>
      <c r="I12" s="49">
        <v>0</v>
      </c>
      <c r="J12" s="52"/>
      <c r="K12" s="52">
        <v>0</v>
      </c>
      <c r="L12" s="46">
        <f t="shared" si="0"/>
        <v>12910.5</v>
      </c>
      <c r="M12" s="35"/>
      <c r="N12" s="56">
        <f t="shared" si="1"/>
        <v>0</v>
      </c>
      <c r="O12" s="45">
        <f t="shared" si="2"/>
        <v>12910.5</v>
      </c>
      <c r="P12" s="77">
        <v>11951.86</v>
      </c>
      <c r="Q12" s="45">
        <f t="shared" si="3"/>
        <v>958.63999999999942</v>
      </c>
      <c r="R12" s="78">
        <v>0.23519999999999999</v>
      </c>
      <c r="S12" s="45">
        <f t="shared" si="4"/>
        <v>225.47212799999986</v>
      </c>
      <c r="T12" s="78">
        <v>1914.75</v>
      </c>
      <c r="U12" s="45">
        <f t="shared" si="5"/>
        <v>2140.2221279999999</v>
      </c>
      <c r="V12" s="56">
        <f t="shared" si="6"/>
        <v>0</v>
      </c>
      <c r="W12" s="45">
        <f t="shared" si="7"/>
        <v>2140.2221279999999</v>
      </c>
      <c r="X12" s="51"/>
      <c r="Y12" s="74">
        <f t="shared" si="11"/>
        <v>0</v>
      </c>
      <c r="Z12" s="72">
        <f t="shared" si="12"/>
        <v>2140.2221279999999</v>
      </c>
      <c r="AA12" s="73"/>
      <c r="AB12" s="73"/>
      <c r="AC12" s="73"/>
      <c r="AD12" s="72"/>
      <c r="AE12" s="73"/>
      <c r="AF12" s="92">
        <f t="shared" si="13"/>
        <v>2140.2221279999999</v>
      </c>
      <c r="AG12" s="96">
        <f t="shared" si="14"/>
        <v>11093.38620816</v>
      </c>
      <c r="AH12" s="147">
        <f t="shared" si="15"/>
        <v>10770.277872000001</v>
      </c>
      <c r="AI12" s="125">
        <f t="shared" si="16"/>
        <v>25821</v>
      </c>
      <c r="AJ12" s="140">
        <f t="shared" si="17"/>
        <v>13297.815000000001</v>
      </c>
      <c r="AK12" s="80">
        <v>12910.5</v>
      </c>
      <c r="AL12" s="100">
        <f t="shared" si="8"/>
        <v>10770.277872000001</v>
      </c>
      <c r="AM12" s="93">
        <v>10770.01729616</v>
      </c>
    </row>
    <row r="13" spans="1:40" ht="14.25" x14ac:dyDescent="0.2">
      <c r="A13" s="48">
        <v>9</v>
      </c>
      <c r="B13" s="106" t="s">
        <v>195</v>
      </c>
      <c r="C13" s="58" t="s">
        <v>57</v>
      </c>
      <c r="D13" s="52">
        <f t="shared" si="9"/>
        <v>860.7</v>
      </c>
      <c r="E13" s="57">
        <f t="shared" si="10"/>
        <v>12910.5</v>
      </c>
      <c r="F13" s="52">
        <v>0</v>
      </c>
      <c r="G13" s="52">
        <v>0</v>
      </c>
      <c r="H13" s="49">
        <v>0</v>
      </c>
      <c r="I13" s="49">
        <v>0</v>
      </c>
      <c r="J13" s="52"/>
      <c r="K13" s="52">
        <v>0</v>
      </c>
      <c r="L13" s="46">
        <f t="shared" si="0"/>
        <v>12910.5</v>
      </c>
      <c r="M13" s="35"/>
      <c r="N13" s="56">
        <f t="shared" si="1"/>
        <v>0</v>
      </c>
      <c r="O13" s="45">
        <f t="shared" si="2"/>
        <v>12910.5</v>
      </c>
      <c r="P13" s="77">
        <v>11951.86</v>
      </c>
      <c r="Q13" s="45">
        <f t="shared" si="3"/>
        <v>958.63999999999942</v>
      </c>
      <c r="R13" s="78">
        <v>0.23519999999999999</v>
      </c>
      <c r="S13" s="45">
        <f t="shared" si="4"/>
        <v>225.47212799999986</v>
      </c>
      <c r="T13" s="78">
        <v>1914.75</v>
      </c>
      <c r="U13" s="45">
        <f t="shared" si="5"/>
        <v>2140.2221279999999</v>
      </c>
      <c r="V13" s="56">
        <f t="shared" si="6"/>
        <v>0</v>
      </c>
      <c r="W13" s="45">
        <f t="shared" si="7"/>
        <v>2140.2221279999999</v>
      </c>
      <c r="X13" s="51"/>
      <c r="Y13" s="74">
        <f t="shared" si="11"/>
        <v>0</v>
      </c>
      <c r="Z13" s="72">
        <f t="shared" si="12"/>
        <v>2140.2221279999999</v>
      </c>
      <c r="AA13" s="74"/>
      <c r="AB13" s="74"/>
      <c r="AC13" s="74"/>
      <c r="AD13" s="74"/>
      <c r="AE13" s="74"/>
      <c r="AF13" s="92">
        <f t="shared" si="13"/>
        <v>2140.2221279999999</v>
      </c>
      <c r="AG13" s="96">
        <f t="shared" si="14"/>
        <v>11093.38620816</v>
      </c>
      <c r="AH13" s="147">
        <f t="shared" si="15"/>
        <v>10770.277872000001</v>
      </c>
      <c r="AI13" s="125">
        <f t="shared" si="16"/>
        <v>25821</v>
      </c>
      <c r="AJ13" s="140">
        <f t="shared" si="17"/>
        <v>13297.815000000001</v>
      </c>
      <c r="AK13" s="80">
        <v>12910.5</v>
      </c>
      <c r="AL13" s="100">
        <f t="shared" si="8"/>
        <v>10770.277872000001</v>
      </c>
      <c r="AM13" s="93">
        <v>10770.01729616</v>
      </c>
    </row>
    <row r="14" spans="1:40" ht="14.25" x14ac:dyDescent="0.2">
      <c r="A14" s="48">
        <v>10</v>
      </c>
      <c r="B14" s="106" t="s">
        <v>196</v>
      </c>
      <c r="C14" s="58" t="s">
        <v>57</v>
      </c>
      <c r="D14" s="52">
        <f t="shared" si="9"/>
        <v>860.7</v>
      </c>
      <c r="E14" s="57">
        <f t="shared" si="10"/>
        <v>12910.5</v>
      </c>
      <c r="F14" s="52">
        <v>0</v>
      </c>
      <c r="G14" s="52">
        <v>0</v>
      </c>
      <c r="H14" s="49">
        <v>0</v>
      </c>
      <c r="I14" s="49">
        <v>0</v>
      </c>
      <c r="J14" s="52"/>
      <c r="K14" s="52">
        <v>0</v>
      </c>
      <c r="L14" s="46">
        <f t="shared" si="0"/>
        <v>12910.5</v>
      </c>
      <c r="M14" s="35"/>
      <c r="N14" s="56">
        <f t="shared" si="1"/>
        <v>0</v>
      </c>
      <c r="O14" s="45">
        <f t="shared" si="2"/>
        <v>12910.5</v>
      </c>
      <c r="P14" s="77">
        <v>11951.86</v>
      </c>
      <c r="Q14" s="45">
        <f t="shared" si="3"/>
        <v>958.63999999999942</v>
      </c>
      <c r="R14" s="78">
        <v>0.23519999999999999</v>
      </c>
      <c r="S14" s="45">
        <f t="shared" si="4"/>
        <v>225.47212799999986</v>
      </c>
      <c r="T14" s="78">
        <v>1914.75</v>
      </c>
      <c r="U14" s="45">
        <f t="shared" si="5"/>
        <v>2140.2221279999999</v>
      </c>
      <c r="V14" s="56">
        <f t="shared" si="6"/>
        <v>0</v>
      </c>
      <c r="W14" s="45">
        <f t="shared" si="7"/>
        <v>2140.2221279999999</v>
      </c>
      <c r="X14" s="51"/>
      <c r="Y14" s="74">
        <f t="shared" si="11"/>
        <v>0</v>
      </c>
      <c r="Z14" s="72">
        <f t="shared" si="12"/>
        <v>2140.2221279999999</v>
      </c>
      <c r="AA14" s="72"/>
      <c r="AB14" s="72"/>
      <c r="AC14" s="72"/>
      <c r="AD14" s="72"/>
      <c r="AE14" s="72"/>
      <c r="AF14" s="92">
        <f t="shared" si="13"/>
        <v>2140.2221279999999</v>
      </c>
      <c r="AG14" s="96">
        <f t="shared" si="14"/>
        <v>11093.38620816</v>
      </c>
      <c r="AH14" s="147">
        <f t="shared" si="15"/>
        <v>10770.277872000001</v>
      </c>
      <c r="AI14" s="125">
        <f t="shared" si="16"/>
        <v>25821</v>
      </c>
      <c r="AJ14" s="140">
        <f t="shared" si="17"/>
        <v>13297.815000000001</v>
      </c>
      <c r="AK14" s="80">
        <v>12910.5</v>
      </c>
      <c r="AL14" s="100">
        <f t="shared" si="8"/>
        <v>10770.277872000001</v>
      </c>
      <c r="AM14" s="93">
        <v>10770.01729616</v>
      </c>
    </row>
    <row r="15" spans="1:40" ht="22.5" x14ac:dyDescent="0.2">
      <c r="A15" s="64">
        <v>11</v>
      </c>
      <c r="B15" s="106" t="s">
        <v>200</v>
      </c>
      <c r="C15" s="60" t="s">
        <v>62</v>
      </c>
      <c r="D15" s="52">
        <f t="shared" si="9"/>
        <v>802.5333333333333</v>
      </c>
      <c r="E15" s="57">
        <f t="shared" si="10"/>
        <v>12038</v>
      </c>
      <c r="F15" s="52">
        <v>0</v>
      </c>
      <c r="G15" s="52">
        <v>0</v>
      </c>
      <c r="H15" s="52">
        <v>0</v>
      </c>
      <c r="I15" s="52">
        <v>0</v>
      </c>
      <c r="J15" s="52"/>
      <c r="K15" s="52">
        <v>0</v>
      </c>
      <c r="L15" s="46">
        <f t="shared" si="0"/>
        <v>12038</v>
      </c>
      <c r="M15" s="51"/>
      <c r="N15" s="45">
        <f t="shared" si="1"/>
        <v>0</v>
      </c>
      <c r="O15" s="45">
        <f t="shared" si="2"/>
        <v>12038</v>
      </c>
      <c r="P15" s="77">
        <v>11951.86</v>
      </c>
      <c r="Q15" s="45">
        <f t="shared" si="3"/>
        <v>86.139999999999418</v>
      </c>
      <c r="R15" s="78">
        <v>0.23519999999999999</v>
      </c>
      <c r="S15" s="45">
        <f t="shared" si="4"/>
        <v>20.260127999999863</v>
      </c>
      <c r="T15" s="78">
        <v>1914.75</v>
      </c>
      <c r="U15" s="45">
        <f t="shared" si="5"/>
        <v>1935.0101279999999</v>
      </c>
      <c r="V15" s="45">
        <f t="shared" si="6"/>
        <v>0</v>
      </c>
      <c r="W15" s="45">
        <f t="shared" si="7"/>
        <v>1935.0101279999999</v>
      </c>
      <c r="X15" s="51"/>
      <c r="Y15" s="74">
        <f t="shared" si="11"/>
        <v>0</v>
      </c>
      <c r="Z15" s="72">
        <f t="shared" si="12"/>
        <v>1935.0101279999999</v>
      </c>
      <c r="AA15" s="72"/>
      <c r="AB15" s="72"/>
      <c r="AC15" s="72"/>
      <c r="AD15" s="72"/>
      <c r="AE15" s="72"/>
      <c r="AF15" s="92">
        <f t="shared" si="13"/>
        <v>1935.0101279999999</v>
      </c>
      <c r="AG15" s="96">
        <f t="shared" si="14"/>
        <v>10406.079568159999</v>
      </c>
      <c r="AH15" s="147">
        <f t="shared" si="15"/>
        <v>10102.989872</v>
      </c>
      <c r="AI15" s="125">
        <f t="shared" si="16"/>
        <v>24076</v>
      </c>
      <c r="AJ15" s="140">
        <f t="shared" si="17"/>
        <v>12399.14</v>
      </c>
      <c r="AK15" s="80">
        <v>12038</v>
      </c>
      <c r="AL15" s="100">
        <f t="shared" si="8"/>
        <v>10102.989872</v>
      </c>
      <c r="AM15" s="93">
        <v>10104.41830168</v>
      </c>
    </row>
    <row r="16" spans="1:40" ht="33.75" x14ac:dyDescent="0.2">
      <c r="A16" s="50">
        <v>12</v>
      </c>
      <c r="B16" s="106" t="s">
        <v>209</v>
      </c>
      <c r="C16" s="60" t="s">
        <v>61</v>
      </c>
      <c r="D16" s="52">
        <f t="shared" si="9"/>
        <v>802.5333333333333</v>
      </c>
      <c r="E16" s="57">
        <f t="shared" si="10"/>
        <v>12038</v>
      </c>
      <c r="F16" s="52">
        <v>0</v>
      </c>
      <c r="G16" s="52">
        <v>0</v>
      </c>
      <c r="H16" s="52">
        <v>0</v>
      </c>
      <c r="I16" s="52">
        <v>0</v>
      </c>
      <c r="J16" s="52"/>
      <c r="K16" s="52">
        <v>0</v>
      </c>
      <c r="L16" s="46">
        <f t="shared" si="0"/>
        <v>12038</v>
      </c>
      <c r="M16" s="53"/>
      <c r="N16" s="45">
        <f t="shared" si="1"/>
        <v>0</v>
      </c>
      <c r="O16" s="45">
        <f t="shared" si="2"/>
        <v>12038</v>
      </c>
      <c r="P16" s="77">
        <v>11951.86</v>
      </c>
      <c r="Q16" s="45">
        <f t="shared" si="3"/>
        <v>86.139999999999418</v>
      </c>
      <c r="R16" s="78">
        <v>0.23519999999999999</v>
      </c>
      <c r="S16" s="45">
        <f t="shared" si="4"/>
        <v>20.260127999999863</v>
      </c>
      <c r="T16" s="78">
        <v>1914.75</v>
      </c>
      <c r="U16" s="45">
        <f t="shared" si="5"/>
        <v>1935.0101279999999</v>
      </c>
      <c r="V16" s="45">
        <f t="shared" si="6"/>
        <v>0</v>
      </c>
      <c r="W16" s="45">
        <f t="shared" si="7"/>
        <v>1935.0101279999999</v>
      </c>
      <c r="X16" s="51"/>
      <c r="Y16" s="74">
        <f t="shared" si="11"/>
        <v>0</v>
      </c>
      <c r="Z16" s="72">
        <f t="shared" si="12"/>
        <v>1935.0101279999999</v>
      </c>
      <c r="AA16" s="72"/>
      <c r="AB16" s="72"/>
      <c r="AC16" s="72"/>
      <c r="AD16" s="72"/>
      <c r="AE16" s="72"/>
      <c r="AF16" s="92">
        <f t="shared" si="13"/>
        <v>1935.0101279999999</v>
      </c>
      <c r="AG16" s="96">
        <f t="shared" si="14"/>
        <v>10406.079568159999</v>
      </c>
      <c r="AH16" s="147">
        <f t="shared" si="15"/>
        <v>10102.989872</v>
      </c>
      <c r="AI16" s="125">
        <f t="shared" si="16"/>
        <v>24076</v>
      </c>
      <c r="AJ16" s="140">
        <f t="shared" si="17"/>
        <v>12399.14</v>
      </c>
      <c r="AK16" s="80">
        <v>12038</v>
      </c>
      <c r="AL16" s="100">
        <f t="shared" si="8"/>
        <v>10102.989872</v>
      </c>
      <c r="AM16" s="93">
        <v>10104.41830168</v>
      </c>
    </row>
    <row r="17" spans="1:41" s="318" customFormat="1" ht="22.5" x14ac:dyDescent="0.2">
      <c r="A17" s="299">
        <v>13</v>
      </c>
      <c r="B17" s="300" t="s">
        <v>149</v>
      </c>
      <c r="C17" s="301" t="s">
        <v>150</v>
      </c>
      <c r="D17" s="302">
        <f t="shared" si="9"/>
        <v>593.93333333333328</v>
      </c>
      <c r="E17" s="303">
        <f t="shared" si="10"/>
        <v>8909</v>
      </c>
      <c r="F17" s="302">
        <v>0</v>
      </c>
      <c r="G17" s="302">
        <v>0</v>
      </c>
      <c r="H17" s="302">
        <v>0</v>
      </c>
      <c r="I17" s="302">
        <v>0</v>
      </c>
      <c r="J17" s="302"/>
      <c r="K17" s="302">
        <v>0</v>
      </c>
      <c r="L17" s="304">
        <f t="shared" si="0"/>
        <v>8909</v>
      </c>
      <c r="M17" s="305"/>
      <c r="N17" s="306">
        <f t="shared" si="1"/>
        <v>0</v>
      </c>
      <c r="O17" s="306">
        <f t="shared" si="2"/>
        <v>8909</v>
      </c>
      <c r="P17" s="306">
        <v>5925.91</v>
      </c>
      <c r="Q17" s="306">
        <f t="shared" si="3"/>
        <v>2983.09</v>
      </c>
      <c r="R17" s="306">
        <v>0.21360000000000001</v>
      </c>
      <c r="S17" s="306">
        <f t="shared" si="4"/>
        <v>637.18802400000004</v>
      </c>
      <c r="T17" s="306">
        <v>627.6</v>
      </c>
      <c r="U17" s="306">
        <f t="shared" si="5"/>
        <v>1264.788024</v>
      </c>
      <c r="V17" s="306">
        <f t="shared" si="6"/>
        <v>0</v>
      </c>
      <c r="W17" s="306">
        <f t="shared" si="7"/>
        <v>1264.788024</v>
      </c>
      <c r="X17" s="307"/>
      <c r="Y17" s="308">
        <f t="shared" si="11"/>
        <v>0</v>
      </c>
      <c r="Z17" s="309">
        <f t="shared" si="12"/>
        <v>1264.788024</v>
      </c>
      <c r="AA17" s="309"/>
      <c r="AB17" s="309"/>
      <c r="AC17" s="309"/>
      <c r="AD17" s="309"/>
      <c r="AE17" s="309"/>
      <c r="AF17" s="310">
        <f t="shared" si="13"/>
        <v>1264.788024</v>
      </c>
      <c r="AG17" s="311">
        <f>(AH17*0.05)+AH17</f>
        <v>8026.4225748000008</v>
      </c>
      <c r="AH17" s="312">
        <f t="shared" si="15"/>
        <v>7644.2119760000005</v>
      </c>
      <c r="AI17" s="313">
        <f t="shared" si="16"/>
        <v>17818</v>
      </c>
      <c r="AJ17" s="314">
        <f t="shared" si="17"/>
        <v>9176.27</v>
      </c>
      <c r="AK17" s="315">
        <v>8909</v>
      </c>
      <c r="AL17" s="316"/>
      <c r="AM17" s="317">
        <v>7644.1142147999999</v>
      </c>
    </row>
    <row r="18" spans="1:41" x14ac:dyDescent="0.2">
      <c r="A18" s="48">
        <v>14</v>
      </c>
      <c r="B18" s="106" t="s">
        <v>204</v>
      </c>
      <c r="C18" s="58" t="s">
        <v>72</v>
      </c>
      <c r="D18" s="52">
        <f t="shared" si="9"/>
        <v>539.33333333333337</v>
      </c>
      <c r="E18" s="57">
        <f t="shared" si="10"/>
        <v>8090</v>
      </c>
      <c r="F18" s="52">
        <v>0</v>
      </c>
      <c r="G18" s="52">
        <v>0</v>
      </c>
      <c r="H18" s="52">
        <v>0</v>
      </c>
      <c r="I18" s="52">
        <v>0</v>
      </c>
      <c r="J18" s="52"/>
      <c r="K18" s="52">
        <v>0</v>
      </c>
      <c r="L18" s="46">
        <f t="shared" si="0"/>
        <v>8090</v>
      </c>
      <c r="M18" s="51"/>
      <c r="N18" s="45">
        <f t="shared" si="1"/>
        <v>0</v>
      </c>
      <c r="O18" s="45">
        <f t="shared" si="2"/>
        <v>8090</v>
      </c>
      <c r="P18" s="77">
        <v>5925.91</v>
      </c>
      <c r="Q18" s="45">
        <f t="shared" si="3"/>
        <v>2164.09</v>
      </c>
      <c r="R18" s="77">
        <v>0.21360000000000001</v>
      </c>
      <c r="S18" s="45">
        <f t="shared" si="4"/>
        <v>462.24962400000004</v>
      </c>
      <c r="T18" s="77">
        <v>627.6</v>
      </c>
      <c r="U18" s="45">
        <f t="shared" si="5"/>
        <v>1089.8496239999999</v>
      </c>
      <c r="V18" s="45">
        <f t="shared" si="6"/>
        <v>0</v>
      </c>
      <c r="W18" s="45">
        <f t="shared" si="7"/>
        <v>1089.8496239999999</v>
      </c>
      <c r="X18" s="51"/>
      <c r="Y18" s="74">
        <f t="shared" si="11"/>
        <v>0</v>
      </c>
      <c r="Z18" s="72">
        <f t="shared" si="12"/>
        <v>1089.8496239999999</v>
      </c>
      <c r="AA18" s="72"/>
      <c r="AB18" s="72"/>
      <c r="AC18" s="72"/>
      <c r="AD18" s="72"/>
      <c r="AE18" s="72"/>
      <c r="AF18" s="92">
        <f t="shared" si="13"/>
        <v>1089.8496239999999</v>
      </c>
      <c r="AG18" s="96">
        <f t="shared" ref="AG18:AG38" si="18">(AH18*0.05)+AH18</f>
        <v>7350.1578947999997</v>
      </c>
      <c r="AH18" s="147">
        <f t="shared" si="15"/>
        <v>7000.1503759999996</v>
      </c>
      <c r="AI18" s="125">
        <f t="shared" si="16"/>
        <v>16180</v>
      </c>
      <c r="AJ18" s="140">
        <f t="shared" si="17"/>
        <v>8332.7000000000007</v>
      </c>
      <c r="AK18" s="80">
        <v>8090</v>
      </c>
      <c r="AL18" s="99">
        <v>8090</v>
      </c>
      <c r="AM18" s="98">
        <v>7000.1503759999996</v>
      </c>
    </row>
    <row r="19" spans="1:41" x14ac:dyDescent="0.2">
      <c r="A19" s="48">
        <v>15</v>
      </c>
      <c r="B19" s="106" t="s">
        <v>205</v>
      </c>
      <c r="C19" s="58" t="s">
        <v>81</v>
      </c>
      <c r="D19" s="52">
        <f t="shared" si="9"/>
        <v>370.86666666666667</v>
      </c>
      <c r="E19" s="57">
        <f t="shared" si="10"/>
        <v>5563</v>
      </c>
      <c r="F19" s="52">
        <v>0</v>
      </c>
      <c r="G19" s="52">
        <v>0</v>
      </c>
      <c r="H19" s="52"/>
      <c r="I19" s="52"/>
      <c r="J19" s="52"/>
      <c r="K19" s="52">
        <v>0</v>
      </c>
      <c r="L19" s="46">
        <f t="shared" si="0"/>
        <v>5563</v>
      </c>
      <c r="M19" s="51"/>
      <c r="N19" s="45">
        <f t="shared" si="1"/>
        <v>0</v>
      </c>
      <c r="O19" s="45">
        <f t="shared" si="2"/>
        <v>5563</v>
      </c>
      <c r="P19" s="77">
        <v>4949.5600000000004</v>
      </c>
      <c r="Q19" s="45">
        <f t="shared" si="3"/>
        <v>613.4399999999996</v>
      </c>
      <c r="R19" s="77">
        <v>0.1792</v>
      </c>
      <c r="S19" s="45">
        <f t="shared" si="4"/>
        <v>109.92844799999993</v>
      </c>
      <c r="T19" s="77">
        <v>452.55</v>
      </c>
      <c r="U19" s="45">
        <f t="shared" si="5"/>
        <v>562.47844799999996</v>
      </c>
      <c r="V19" s="45">
        <f t="shared" si="6"/>
        <v>0</v>
      </c>
      <c r="W19" s="45">
        <f t="shared" si="7"/>
        <v>562.47844799999996</v>
      </c>
      <c r="X19" s="51"/>
      <c r="Y19" s="74">
        <f t="shared" si="11"/>
        <v>0</v>
      </c>
      <c r="Z19" s="72">
        <f t="shared" si="12"/>
        <v>562.47844799999996</v>
      </c>
      <c r="AA19" s="72"/>
      <c r="AB19" s="72"/>
      <c r="AC19" s="72"/>
      <c r="AD19" s="72"/>
      <c r="AE19" s="72"/>
      <c r="AF19" s="92">
        <f t="shared" si="13"/>
        <v>562.47844799999996</v>
      </c>
      <c r="AG19" s="96">
        <f t="shared" si="18"/>
        <v>5250.5476295999997</v>
      </c>
      <c r="AH19" s="147">
        <f t="shared" si="15"/>
        <v>5000.5215520000002</v>
      </c>
      <c r="AI19" s="125">
        <f t="shared" si="16"/>
        <v>11126</v>
      </c>
      <c r="AJ19" s="140">
        <f t="shared" si="17"/>
        <v>5729.89</v>
      </c>
      <c r="AK19" s="80">
        <v>5563</v>
      </c>
      <c r="AL19" s="100">
        <f>AK19-AF19</f>
        <v>5000.5215520000002</v>
      </c>
      <c r="AM19" s="98">
        <v>4500.3555999999999</v>
      </c>
    </row>
    <row r="20" spans="1:41" s="274" customFormat="1" x14ac:dyDescent="0.2">
      <c r="A20" s="257">
        <v>16</v>
      </c>
      <c r="B20" s="258" t="s">
        <v>140</v>
      </c>
      <c r="C20" s="259" t="s">
        <v>89</v>
      </c>
      <c r="D20" s="260">
        <f t="shared" si="9"/>
        <v>330.33333333333331</v>
      </c>
      <c r="E20" s="261">
        <f t="shared" si="10"/>
        <v>4955</v>
      </c>
      <c r="F20" s="260">
        <v>0</v>
      </c>
      <c r="G20" s="260">
        <v>0</v>
      </c>
      <c r="H20" s="260"/>
      <c r="I20" s="260"/>
      <c r="J20" s="260"/>
      <c r="K20" s="260">
        <v>0</v>
      </c>
      <c r="L20" s="262">
        <f t="shared" si="0"/>
        <v>4955</v>
      </c>
      <c r="M20" s="263"/>
      <c r="N20" s="264">
        <f t="shared" si="1"/>
        <v>0</v>
      </c>
      <c r="O20" s="264">
        <f t="shared" si="2"/>
        <v>4955</v>
      </c>
      <c r="P20" s="264">
        <v>4949.5600000000004</v>
      </c>
      <c r="Q20" s="264">
        <f t="shared" si="3"/>
        <v>5.4399999999995998</v>
      </c>
      <c r="R20" s="264">
        <v>0.1792</v>
      </c>
      <c r="S20" s="264">
        <f t="shared" si="4"/>
        <v>0.97484799999992833</v>
      </c>
      <c r="T20" s="264">
        <v>452.55</v>
      </c>
      <c r="U20" s="264">
        <f t="shared" si="5"/>
        <v>453.52484799999996</v>
      </c>
      <c r="V20" s="264">
        <f t="shared" si="6"/>
        <v>0</v>
      </c>
      <c r="W20" s="264">
        <f t="shared" si="7"/>
        <v>453.52484799999996</v>
      </c>
      <c r="X20" s="265"/>
      <c r="Y20" s="266">
        <f t="shared" si="11"/>
        <v>0</v>
      </c>
      <c r="Z20" s="267">
        <f t="shared" si="12"/>
        <v>453.52484799999996</v>
      </c>
      <c r="AA20" s="267"/>
      <c r="AB20" s="267"/>
      <c r="AC20" s="267"/>
      <c r="AD20" s="267"/>
      <c r="AE20" s="267"/>
      <c r="AF20" s="268">
        <f t="shared" si="13"/>
        <v>453.52484799999996</v>
      </c>
      <c r="AG20" s="269">
        <f t="shared" si="18"/>
        <v>4726.5489096000001</v>
      </c>
      <c r="AH20" s="98">
        <f t="shared" si="15"/>
        <v>4501.475152</v>
      </c>
      <c r="AI20" s="270">
        <f t="shared" si="16"/>
        <v>9910</v>
      </c>
      <c r="AJ20" s="271">
        <f>(AK20*0.05)+AK20</f>
        <v>5202.75</v>
      </c>
      <c r="AK20" s="272">
        <v>4955</v>
      </c>
      <c r="AL20" s="273"/>
      <c r="AM20" s="93">
        <v>4725.461580000001</v>
      </c>
      <c r="AN20" s="275">
        <f>AJ20-AF20</f>
        <v>4749.225152</v>
      </c>
    </row>
    <row r="21" spans="1:41" ht="33.75" x14ac:dyDescent="0.2">
      <c r="A21" s="50">
        <v>17</v>
      </c>
      <c r="B21" s="106" t="s">
        <v>104</v>
      </c>
      <c r="C21" s="60" t="s">
        <v>105</v>
      </c>
      <c r="D21" s="52">
        <f t="shared" si="9"/>
        <v>389.40999999999997</v>
      </c>
      <c r="E21" s="228">
        <v>5841.15</v>
      </c>
      <c r="F21" s="52">
        <v>0</v>
      </c>
      <c r="G21" s="52">
        <v>0</v>
      </c>
      <c r="H21" s="52"/>
      <c r="I21" s="52"/>
      <c r="J21" s="52"/>
      <c r="K21" s="52">
        <v>0</v>
      </c>
      <c r="L21" s="46">
        <f t="shared" si="0"/>
        <v>5841.15</v>
      </c>
      <c r="M21" s="53"/>
      <c r="N21" s="45">
        <f t="shared" si="1"/>
        <v>0</v>
      </c>
      <c r="O21" s="45">
        <f t="shared" si="2"/>
        <v>5841.15</v>
      </c>
      <c r="P21" s="77">
        <v>4949.5600000000004</v>
      </c>
      <c r="Q21" s="45">
        <f t="shared" si="3"/>
        <v>891.58999999999924</v>
      </c>
      <c r="R21" s="77">
        <v>0.1792</v>
      </c>
      <c r="S21" s="45">
        <f t="shared" si="4"/>
        <v>159.77292799999987</v>
      </c>
      <c r="T21" s="77">
        <v>452.55</v>
      </c>
      <c r="U21" s="45">
        <f t="shared" si="5"/>
        <v>612.32292799999982</v>
      </c>
      <c r="V21" s="45">
        <f t="shared" si="6"/>
        <v>0</v>
      </c>
      <c r="W21" s="45">
        <f t="shared" si="7"/>
        <v>612.32292799999982</v>
      </c>
      <c r="X21" s="51"/>
      <c r="Y21" s="74">
        <f t="shared" si="11"/>
        <v>0</v>
      </c>
      <c r="Z21" s="72">
        <f t="shared" si="12"/>
        <v>612.32292799999982</v>
      </c>
      <c r="AA21" s="72"/>
      <c r="AB21" s="72"/>
      <c r="AC21" s="72"/>
      <c r="AD21" s="72"/>
      <c r="AE21" s="72"/>
      <c r="AF21" s="92">
        <f t="shared" si="13"/>
        <v>612.32292799999982</v>
      </c>
      <c r="AG21" s="96">
        <f t="shared" si="18"/>
        <v>5490.2684256000002</v>
      </c>
      <c r="AH21" s="147">
        <f t="shared" si="15"/>
        <v>5228.827072</v>
      </c>
      <c r="AI21" s="125">
        <f t="shared" si="16"/>
        <v>11725.741115199999</v>
      </c>
      <c r="AJ21" s="140">
        <f t="shared" si="17"/>
        <v>6038.7566743279995</v>
      </c>
      <c r="AK21" s="80">
        <f>AM21+AF21</f>
        <v>5862.8705575999993</v>
      </c>
      <c r="AM21" s="93">
        <v>5250.5476295999997</v>
      </c>
      <c r="AN21">
        <f>5000*0.05</f>
        <v>250</v>
      </c>
    </row>
    <row r="22" spans="1:41" ht="33.75" x14ac:dyDescent="0.2">
      <c r="A22" s="48">
        <v>18</v>
      </c>
      <c r="B22" s="107" t="s">
        <v>221</v>
      </c>
      <c r="C22" s="62" t="s">
        <v>222</v>
      </c>
      <c r="D22" s="52">
        <f t="shared" si="9"/>
        <v>330.24</v>
      </c>
      <c r="E22" s="57">
        <f t="shared" si="10"/>
        <v>4953.6000000000004</v>
      </c>
      <c r="F22" s="52">
        <v>0</v>
      </c>
      <c r="G22" s="52">
        <v>0</v>
      </c>
      <c r="H22" s="52">
        <v>0</v>
      </c>
      <c r="I22" s="52">
        <v>0</v>
      </c>
      <c r="J22" s="52"/>
      <c r="K22" s="52">
        <v>0</v>
      </c>
      <c r="L22" s="46">
        <f t="shared" si="0"/>
        <v>4953.6000000000004</v>
      </c>
      <c r="M22" s="53"/>
      <c r="N22" s="45">
        <f t="shared" si="1"/>
        <v>0</v>
      </c>
      <c r="O22" s="45">
        <f t="shared" si="2"/>
        <v>4953.6000000000004</v>
      </c>
      <c r="P22" s="77">
        <v>4257.91</v>
      </c>
      <c r="Q22" s="45">
        <f t="shared" si="3"/>
        <v>695.69000000000051</v>
      </c>
      <c r="R22" s="77">
        <v>0.16</v>
      </c>
      <c r="S22" s="45">
        <f t="shared" si="4"/>
        <v>111.31040000000009</v>
      </c>
      <c r="T22" s="77">
        <v>341.85</v>
      </c>
      <c r="U22" s="45">
        <f t="shared" si="5"/>
        <v>453.1604000000001</v>
      </c>
      <c r="V22" s="45">
        <f t="shared" si="6"/>
        <v>0</v>
      </c>
      <c r="W22" s="45">
        <f t="shared" si="7"/>
        <v>453.1604000000001</v>
      </c>
      <c r="X22" s="51"/>
      <c r="Y22" s="74">
        <f t="shared" si="11"/>
        <v>0</v>
      </c>
      <c r="Z22" s="72">
        <f t="shared" si="12"/>
        <v>453.1604000000001</v>
      </c>
      <c r="AA22" s="72"/>
      <c r="AB22" s="72"/>
      <c r="AC22" s="72"/>
      <c r="AD22" s="72"/>
      <c r="AE22" s="72"/>
      <c r="AF22" s="92">
        <f t="shared" si="13"/>
        <v>453.1604000000001</v>
      </c>
      <c r="AG22" s="96">
        <f t="shared" si="18"/>
        <v>4725.461580000001</v>
      </c>
      <c r="AH22" s="147">
        <f t="shared" si="15"/>
        <v>4500.4396000000006</v>
      </c>
      <c r="AI22" s="125">
        <f t="shared" si="16"/>
        <v>9907.2000000000007</v>
      </c>
      <c r="AJ22" s="140">
        <f t="shared" si="17"/>
        <v>5102.2080000000005</v>
      </c>
      <c r="AK22" s="80">
        <v>4953.6000000000004</v>
      </c>
      <c r="AM22" s="98">
        <v>4500.4396000000006</v>
      </c>
    </row>
    <row r="23" spans="1:41" ht="22.5" x14ac:dyDescent="0.2">
      <c r="A23" s="48">
        <v>19</v>
      </c>
      <c r="B23" s="108" t="s">
        <v>211</v>
      </c>
      <c r="C23" s="60" t="s">
        <v>109</v>
      </c>
      <c r="D23" s="52">
        <f t="shared" si="9"/>
        <v>454.6</v>
      </c>
      <c r="E23" s="57">
        <f t="shared" si="10"/>
        <v>6819</v>
      </c>
      <c r="F23" s="52">
        <v>0</v>
      </c>
      <c r="G23" s="52">
        <v>0</v>
      </c>
      <c r="H23" s="52">
        <v>0</v>
      </c>
      <c r="I23" s="52">
        <v>0</v>
      </c>
      <c r="J23" s="52"/>
      <c r="K23" s="52">
        <v>0</v>
      </c>
      <c r="L23" s="46">
        <f t="shared" si="0"/>
        <v>6819</v>
      </c>
      <c r="M23" s="53"/>
      <c r="N23" s="45">
        <f t="shared" si="1"/>
        <v>0</v>
      </c>
      <c r="O23" s="45">
        <f t="shared" si="2"/>
        <v>6819</v>
      </c>
      <c r="P23" s="77">
        <v>5925.91</v>
      </c>
      <c r="Q23" s="45">
        <f t="shared" si="3"/>
        <v>893.09000000000015</v>
      </c>
      <c r="R23" s="77">
        <v>0.21360000000000001</v>
      </c>
      <c r="S23" s="45">
        <f t="shared" si="4"/>
        <v>190.76402400000003</v>
      </c>
      <c r="T23" s="77">
        <v>627.6</v>
      </c>
      <c r="U23" s="45">
        <f t="shared" si="5"/>
        <v>818.36402400000009</v>
      </c>
      <c r="V23" s="45">
        <f t="shared" si="6"/>
        <v>0</v>
      </c>
      <c r="W23" s="45">
        <f t="shared" si="7"/>
        <v>818.36402400000009</v>
      </c>
      <c r="X23" s="51"/>
      <c r="Y23" s="74">
        <f t="shared" si="11"/>
        <v>0</v>
      </c>
      <c r="Z23" s="72">
        <f t="shared" si="12"/>
        <v>818.36402400000009</v>
      </c>
      <c r="AA23" s="72"/>
      <c r="AB23" s="72"/>
      <c r="AC23" s="72"/>
      <c r="AD23" s="72"/>
      <c r="AE23" s="72"/>
      <c r="AF23" s="92">
        <f t="shared" si="13"/>
        <v>818.36402400000009</v>
      </c>
      <c r="AG23" s="96">
        <f t="shared" si="18"/>
        <v>6300.6677747999993</v>
      </c>
      <c r="AH23" s="148">
        <f>E23-AF23</f>
        <v>6000.6359759999996</v>
      </c>
      <c r="AI23" s="125">
        <f t="shared" si="16"/>
        <v>13638</v>
      </c>
      <c r="AJ23" s="140">
        <f t="shared" si="17"/>
        <v>7023.57</v>
      </c>
      <c r="AK23" s="80">
        <v>6819</v>
      </c>
      <c r="AM23" s="98">
        <v>6000.6359759999996</v>
      </c>
    </row>
    <row r="24" spans="1:41" ht="22.5" x14ac:dyDescent="0.2">
      <c r="A24" s="48">
        <v>20</v>
      </c>
      <c r="B24" s="106" t="s">
        <v>111</v>
      </c>
      <c r="C24" s="60" t="s">
        <v>112</v>
      </c>
      <c r="D24" s="52">
        <f t="shared" si="9"/>
        <v>424.33333333333331</v>
      </c>
      <c r="E24" s="57">
        <f t="shared" si="10"/>
        <v>6365</v>
      </c>
      <c r="F24" s="52">
        <v>0</v>
      </c>
      <c r="G24" s="52">
        <v>0</v>
      </c>
      <c r="H24" s="52">
        <v>0</v>
      </c>
      <c r="I24" s="52">
        <v>0</v>
      </c>
      <c r="J24" s="52"/>
      <c r="K24" s="52">
        <v>0</v>
      </c>
      <c r="L24" s="46">
        <f t="shared" si="0"/>
        <v>6365</v>
      </c>
      <c r="M24" s="53"/>
      <c r="N24" s="45">
        <f t="shared" si="1"/>
        <v>0</v>
      </c>
      <c r="O24" s="45">
        <f t="shared" si="2"/>
        <v>6365</v>
      </c>
      <c r="P24" s="77">
        <v>5925.91</v>
      </c>
      <c r="Q24" s="45">
        <f t="shared" si="3"/>
        <v>439.09000000000015</v>
      </c>
      <c r="R24" s="77">
        <v>0.21360000000000001</v>
      </c>
      <c r="S24" s="45">
        <f t="shared" si="4"/>
        <v>93.789624000000032</v>
      </c>
      <c r="T24" s="77">
        <v>627.6</v>
      </c>
      <c r="U24" s="45">
        <f t="shared" si="5"/>
        <v>721.38962400000003</v>
      </c>
      <c r="V24" s="45">
        <f t="shared" si="6"/>
        <v>0</v>
      </c>
      <c r="W24" s="45">
        <f t="shared" si="7"/>
        <v>721.38962400000003</v>
      </c>
      <c r="X24" s="51"/>
      <c r="Y24" s="74">
        <f t="shared" si="11"/>
        <v>0</v>
      </c>
      <c r="Z24" s="72">
        <f t="shared" si="12"/>
        <v>721.38962400000003</v>
      </c>
      <c r="AA24" s="72"/>
      <c r="AB24" s="72"/>
      <c r="AC24" s="72"/>
      <c r="AD24" s="72"/>
      <c r="AE24" s="72"/>
      <c r="AF24" s="92">
        <f t="shared" si="13"/>
        <v>721.38962400000003</v>
      </c>
      <c r="AG24" s="96">
        <f t="shared" si="18"/>
        <v>5925.7908947999995</v>
      </c>
      <c r="AH24" s="147">
        <f t="shared" si="15"/>
        <v>5643.6103759999996</v>
      </c>
      <c r="AI24" s="125">
        <f t="shared" si="16"/>
        <v>12730</v>
      </c>
      <c r="AJ24" s="140">
        <f t="shared" si="17"/>
        <v>6555.95</v>
      </c>
      <c r="AK24" s="80">
        <v>6365</v>
      </c>
      <c r="AM24" s="93">
        <v>5643.8075147999998</v>
      </c>
    </row>
    <row r="25" spans="1:41" ht="22.5" x14ac:dyDescent="0.2">
      <c r="A25" s="64">
        <v>21</v>
      </c>
      <c r="B25" s="106" t="s">
        <v>113</v>
      </c>
      <c r="C25" s="60" t="s">
        <v>112</v>
      </c>
      <c r="D25" s="52">
        <f t="shared" si="9"/>
        <v>424.33333333333331</v>
      </c>
      <c r="E25" s="57">
        <f t="shared" si="10"/>
        <v>6365</v>
      </c>
      <c r="F25" s="52">
        <v>0</v>
      </c>
      <c r="G25" s="52">
        <v>0</v>
      </c>
      <c r="H25" s="52">
        <v>0</v>
      </c>
      <c r="I25" s="52">
        <v>0</v>
      </c>
      <c r="J25" s="52"/>
      <c r="K25" s="52">
        <v>0</v>
      </c>
      <c r="L25" s="46">
        <f t="shared" si="0"/>
        <v>6365</v>
      </c>
      <c r="M25" s="53"/>
      <c r="N25" s="45">
        <f t="shared" si="1"/>
        <v>0</v>
      </c>
      <c r="O25" s="45">
        <f t="shared" si="2"/>
        <v>6365</v>
      </c>
      <c r="P25" s="77">
        <v>5925.91</v>
      </c>
      <c r="Q25" s="45">
        <f t="shared" si="3"/>
        <v>439.09000000000015</v>
      </c>
      <c r="R25" s="77">
        <v>0.21360000000000001</v>
      </c>
      <c r="S25" s="45">
        <f t="shared" si="4"/>
        <v>93.789624000000032</v>
      </c>
      <c r="T25" s="77">
        <v>627.6</v>
      </c>
      <c r="U25" s="45">
        <f t="shared" si="5"/>
        <v>721.38962400000003</v>
      </c>
      <c r="V25" s="45">
        <f t="shared" si="6"/>
        <v>0</v>
      </c>
      <c r="W25" s="45">
        <f t="shared" si="7"/>
        <v>721.38962400000003</v>
      </c>
      <c r="X25" s="51"/>
      <c r="Y25" s="74">
        <f t="shared" si="11"/>
        <v>0</v>
      </c>
      <c r="Z25" s="72">
        <f t="shared" si="12"/>
        <v>721.38962400000003</v>
      </c>
      <c r="AA25" s="72"/>
      <c r="AB25" s="72"/>
      <c r="AC25" s="72"/>
      <c r="AD25" s="72"/>
      <c r="AE25" s="72"/>
      <c r="AF25" s="92">
        <f t="shared" si="13"/>
        <v>721.38962400000003</v>
      </c>
      <c r="AG25" s="96">
        <f t="shared" si="18"/>
        <v>5925.7908947999995</v>
      </c>
      <c r="AH25" s="147">
        <f t="shared" si="15"/>
        <v>5643.6103759999996</v>
      </c>
      <c r="AI25" s="125">
        <f t="shared" si="16"/>
        <v>12730</v>
      </c>
      <c r="AJ25" s="140">
        <f t="shared" si="17"/>
        <v>6555.95</v>
      </c>
      <c r="AK25" s="80">
        <v>6365</v>
      </c>
      <c r="AM25" s="93">
        <v>5643.8075147999998</v>
      </c>
    </row>
    <row r="26" spans="1:41" ht="22.5" x14ac:dyDescent="0.2">
      <c r="A26" s="64">
        <v>22</v>
      </c>
      <c r="B26" s="106" t="s">
        <v>223</v>
      </c>
      <c r="C26" s="60" t="s">
        <v>112</v>
      </c>
      <c r="D26" s="52">
        <f t="shared" si="9"/>
        <v>424.33333333333331</v>
      </c>
      <c r="E26" s="57">
        <f t="shared" si="10"/>
        <v>6365</v>
      </c>
      <c r="F26" s="52"/>
      <c r="G26" s="52"/>
      <c r="H26" s="52"/>
      <c r="I26" s="52"/>
      <c r="J26" s="52"/>
      <c r="K26" s="52"/>
      <c r="L26" s="46">
        <f t="shared" si="0"/>
        <v>6365</v>
      </c>
      <c r="M26" s="53"/>
      <c r="N26" s="45"/>
      <c r="O26" s="45">
        <f t="shared" si="2"/>
        <v>6365</v>
      </c>
      <c r="P26" s="77">
        <v>5925.91</v>
      </c>
      <c r="Q26" s="45">
        <f t="shared" si="3"/>
        <v>439.09000000000015</v>
      </c>
      <c r="R26" s="77">
        <v>0.21360000000000001</v>
      </c>
      <c r="S26" s="45">
        <f t="shared" si="4"/>
        <v>93.789624000000032</v>
      </c>
      <c r="T26" s="77">
        <v>627.6</v>
      </c>
      <c r="U26" s="45">
        <f t="shared" si="5"/>
        <v>721.38962400000003</v>
      </c>
      <c r="V26" s="45">
        <f t="shared" si="6"/>
        <v>0</v>
      </c>
      <c r="W26" s="45">
        <f t="shared" si="7"/>
        <v>721.38962400000003</v>
      </c>
      <c r="X26" s="51"/>
      <c r="Y26" s="74"/>
      <c r="Z26" s="72">
        <f t="shared" si="12"/>
        <v>721.38962400000003</v>
      </c>
      <c r="AA26" s="72"/>
      <c r="AB26" s="72"/>
      <c r="AC26" s="72"/>
      <c r="AD26" s="72"/>
      <c r="AE26" s="72"/>
      <c r="AF26" s="92">
        <f t="shared" si="13"/>
        <v>721.38962400000003</v>
      </c>
      <c r="AG26" s="96">
        <f t="shared" si="18"/>
        <v>5925.7908947999995</v>
      </c>
      <c r="AH26" s="147">
        <f t="shared" si="15"/>
        <v>5643.6103759999996</v>
      </c>
      <c r="AI26" s="125">
        <f t="shared" si="16"/>
        <v>12730</v>
      </c>
      <c r="AJ26" s="140">
        <f t="shared" si="17"/>
        <v>6555.95</v>
      </c>
      <c r="AK26" s="80">
        <v>6365</v>
      </c>
      <c r="AM26" s="93">
        <v>5643.8075147999998</v>
      </c>
    </row>
    <row r="27" spans="1:41" ht="22.5" x14ac:dyDescent="0.2">
      <c r="A27" s="48">
        <v>23</v>
      </c>
      <c r="B27" s="106" t="s">
        <v>212</v>
      </c>
      <c r="C27" s="60" t="s">
        <v>110</v>
      </c>
      <c r="D27" s="52">
        <f t="shared" si="9"/>
        <v>467.26666666666665</v>
      </c>
      <c r="E27" s="57">
        <f t="shared" si="10"/>
        <v>7009</v>
      </c>
      <c r="F27" s="52">
        <v>0</v>
      </c>
      <c r="G27" s="52">
        <v>0</v>
      </c>
      <c r="H27" s="52">
        <v>0</v>
      </c>
      <c r="I27" s="52">
        <v>0</v>
      </c>
      <c r="J27" s="52"/>
      <c r="K27" s="52">
        <v>0</v>
      </c>
      <c r="L27" s="46">
        <f t="shared" si="0"/>
        <v>7009</v>
      </c>
      <c r="M27" s="53"/>
      <c r="N27" s="45">
        <f t="shared" si="1"/>
        <v>0</v>
      </c>
      <c r="O27" s="45">
        <f t="shared" si="2"/>
        <v>7009</v>
      </c>
      <c r="P27" s="77">
        <v>5925.91</v>
      </c>
      <c r="Q27" s="45">
        <f t="shared" si="3"/>
        <v>1083.0900000000001</v>
      </c>
      <c r="R27" s="77">
        <v>0.21360000000000001</v>
      </c>
      <c r="S27" s="45">
        <f t="shared" si="4"/>
        <v>231.34802400000004</v>
      </c>
      <c r="T27" s="77">
        <v>627.6</v>
      </c>
      <c r="U27" s="45">
        <f t="shared" si="5"/>
        <v>858.94802400000003</v>
      </c>
      <c r="V27" s="45">
        <f t="shared" si="6"/>
        <v>0</v>
      </c>
      <c r="W27" s="45">
        <f t="shared" si="7"/>
        <v>858.94802400000003</v>
      </c>
      <c r="X27" s="51"/>
      <c r="Y27" s="74">
        <f t="shared" si="11"/>
        <v>0</v>
      </c>
      <c r="Z27" s="72">
        <f t="shared" si="12"/>
        <v>858.94802400000003</v>
      </c>
      <c r="AA27" s="72"/>
      <c r="AB27" s="72"/>
      <c r="AC27" s="72"/>
      <c r="AD27" s="72"/>
      <c r="AE27" s="72"/>
      <c r="AF27" s="92">
        <f t="shared" si="13"/>
        <v>858.94802400000003</v>
      </c>
      <c r="AG27" s="96">
        <f t="shared" si="18"/>
        <v>6457.5545747999995</v>
      </c>
      <c r="AH27" s="147">
        <f t="shared" si="15"/>
        <v>6150.0519759999997</v>
      </c>
      <c r="AI27" s="125">
        <f t="shared" si="16"/>
        <v>14018</v>
      </c>
      <c r="AJ27" s="140">
        <f>(AK27*0.05)+AK27</f>
        <v>7359.45</v>
      </c>
      <c r="AK27" s="80">
        <v>7009</v>
      </c>
      <c r="AM27" s="93">
        <v>6036.0714832800004</v>
      </c>
      <c r="AN27">
        <f>5860*0.05</f>
        <v>293</v>
      </c>
      <c r="AO27">
        <f>5860+AN27</f>
        <v>6153</v>
      </c>
    </row>
    <row r="28" spans="1:41" x14ac:dyDescent="0.2">
      <c r="A28" s="64">
        <v>24</v>
      </c>
      <c r="B28" s="106" t="s">
        <v>215</v>
      </c>
      <c r="C28" s="60" t="s">
        <v>216</v>
      </c>
      <c r="D28" s="52">
        <f t="shared" si="9"/>
        <v>290.2</v>
      </c>
      <c r="E28" s="57">
        <f t="shared" si="10"/>
        <v>4353</v>
      </c>
      <c r="F28" s="52">
        <v>0</v>
      </c>
      <c r="G28" s="52">
        <v>0</v>
      </c>
      <c r="H28" s="52">
        <v>0</v>
      </c>
      <c r="I28" s="52">
        <v>0</v>
      </c>
      <c r="J28" s="52"/>
      <c r="K28" s="52">
        <v>0</v>
      </c>
      <c r="L28" s="46">
        <f t="shared" si="0"/>
        <v>4353</v>
      </c>
      <c r="M28" s="53"/>
      <c r="N28" s="45">
        <f t="shared" si="1"/>
        <v>0</v>
      </c>
      <c r="O28" s="45">
        <f t="shared" si="2"/>
        <v>4353</v>
      </c>
      <c r="P28" s="77">
        <v>4257.91</v>
      </c>
      <c r="Q28" s="45">
        <f t="shared" si="3"/>
        <v>95.090000000000146</v>
      </c>
      <c r="R28" s="77">
        <v>0.16</v>
      </c>
      <c r="S28" s="45">
        <f t="shared" si="4"/>
        <v>15.214400000000024</v>
      </c>
      <c r="T28" s="77">
        <v>341.85</v>
      </c>
      <c r="U28" s="45">
        <f t="shared" si="5"/>
        <v>357.06440000000003</v>
      </c>
      <c r="V28" s="45">
        <f t="shared" si="6"/>
        <v>0</v>
      </c>
      <c r="W28" s="45">
        <f t="shared" si="7"/>
        <v>357.06440000000003</v>
      </c>
      <c r="X28" s="51"/>
      <c r="Y28" s="74">
        <f t="shared" si="11"/>
        <v>0</v>
      </c>
      <c r="Z28" s="72">
        <f t="shared" si="12"/>
        <v>357.06440000000003</v>
      </c>
      <c r="AA28" s="72"/>
      <c r="AB28" s="72"/>
      <c r="AC28" s="72"/>
      <c r="AD28" s="72"/>
      <c r="AE28" s="72"/>
      <c r="AF28" s="92">
        <f t="shared" si="13"/>
        <v>357.06440000000003</v>
      </c>
      <c r="AG28" s="96">
        <f t="shared" si="18"/>
        <v>4195.7323799999995</v>
      </c>
      <c r="AH28" s="147">
        <f t="shared" si="15"/>
        <v>3995.9355999999998</v>
      </c>
      <c r="AI28" s="125">
        <f t="shared" si="16"/>
        <v>8706</v>
      </c>
      <c r="AJ28" s="140">
        <f t="shared" si="17"/>
        <v>4483.59</v>
      </c>
      <c r="AK28" s="80">
        <v>4353</v>
      </c>
      <c r="AM28" s="93">
        <v>4000</v>
      </c>
    </row>
    <row r="29" spans="1:41" x14ac:dyDescent="0.2">
      <c r="A29" s="64">
        <v>25</v>
      </c>
      <c r="B29" s="106" t="s">
        <v>82</v>
      </c>
      <c r="C29" s="58" t="s">
        <v>83</v>
      </c>
      <c r="D29" s="52">
        <f t="shared" si="9"/>
        <v>303.86666666666667</v>
      </c>
      <c r="E29" s="57">
        <f t="shared" si="10"/>
        <v>4558</v>
      </c>
      <c r="F29" s="52">
        <v>0</v>
      </c>
      <c r="G29" s="52">
        <v>0</v>
      </c>
      <c r="H29" s="52">
        <v>0</v>
      </c>
      <c r="I29" s="52">
        <v>0</v>
      </c>
      <c r="J29" s="52"/>
      <c r="K29" s="52">
        <v>0</v>
      </c>
      <c r="L29" s="46">
        <f t="shared" si="0"/>
        <v>4558</v>
      </c>
      <c r="M29" s="51"/>
      <c r="N29" s="45">
        <f t="shared" si="1"/>
        <v>0</v>
      </c>
      <c r="O29" s="45">
        <f t="shared" si="2"/>
        <v>4558</v>
      </c>
      <c r="P29" s="77">
        <v>4257.91</v>
      </c>
      <c r="Q29" s="45">
        <f t="shared" si="3"/>
        <v>300.09000000000015</v>
      </c>
      <c r="R29" s="77">
        <v>0.16</v>
      </c>
      <c r="S29" s="45">
        <f t="shared" si="4"/>
        <v>48.014400000000023</v>
      </c>
      <c r="T29" s="77">
        <v>341.85</v>
      </c>
      <c r="U29" s="45">
        <f t="shared" si="5"/>
        <v>389.86440000000005</v>
      </c>
      <c r="V29" s="45">
        <f t="shared" si="6"/>
        <v>0</v>
      </c>
      <c r="W29" s="45">
        <f t="shared" si="7"/>
        <v>389.86440000000005</v>
      </c>
      <c r="X29" s="51"/>
      <c r="Y29" s="74">
        <f t="shared" si="11"/>
        <v>0</v>
      </c>
      <c r="Z29" s="72">
        <f t="shared" si="12"/>
        <v>389.86440000000005</v>
      </c>
      <c r="AA29" s="72"/>
      <c r="AB29" s="72"/>
      <c r="AC29" s="72"/>
      <c r="AD29" s="72"/>
      <c r="AE29" s="72"/>
      <c r="AF29" s="92">
        <f t="shared" si="13"/>
        <v>389.86440000000005</v>
      </c>
      <c r="AG29" s="96">
        <f t="shared" si="18"/>
        <v>4376.5423799999999</v>
      </c>
      <c r="AH29" s="147">
        <f t="shared" si="15"/>
        <v>4168.1355999999996</v>
      </c>
      <c r="AI29" s="125">
        <f t="shared" si="16"/>
        <v>9116</v>
      </c>
      <c r="AJ29" s="140">
        <f t="shared" si="17"/>
        <v>4694.74</v>
      </c>
      <c r="AK29" s="80">
        <v>4558</v>
      </c>
      <c r="AM29" s="93">
        <v>4200.1423800000002</v>
      </c>
    </row>
    <row r="30" spans="1:41" x14ac:dyDescent="0.2">
      <c r="A30" s="48">
        <v>26</v>
      </c>
      <c r="B30" s="106" t="s">
        <v>202</v>
      </c>
      <c r="C30" s="58" t="s">
        <v>67</v>
      </c>
      <c r="D30" s="52">
        <f t="shared" si="9"/>
        <v>340.13333333333333</v>
      </c>
      <c r="E30" s="57">
        <f t="shared" si="10"/>
        <v>5102</v>
      </c>
      <c r="F30" s="52">
        <v>0</v>
      </c>
      <c r="G30" s="52">
        <v>0</v>
      </c>
      <c r="H30" s="52">
        <v>0</v>
      </c>
      <c r="I30" s="52">
        <v>0</v>
      </c>
      <c r="J30" s="52"/>
      <c r="K30" s="52">
        <v>0</v>
      </c>
      <c r="L30" s="46">
        <f t="shared" si="0"/>
        <v>5102</v>
      </c>
      <c r="M30" s="51"/>
      <c r="N30" s="45">
        <f t="shared" si="1"/>
        <v>0</v>
      </c>
      <c r="O30" s="45">
        <f t="shared" si="2"/>
        <v>5102</v>
      </c>
      <c r="P30" s="77">
        <v>4949.5600000000004</v>
      </c>
      <c r="Q30" s="45">
        <f t="shared" si="3"/>
        <v>152.4399999999996</v>
      </c>
      <c r="R30" s="77">
        <v>0.1792</v>
      </c>
      <c r="S30" s="45">
        <f t="shared" si="4"/>
        <v>27.317247999999928</v>
      </c>
      <c r="T30" s="77">
        <v>452.55</v>
      </c>
      <c r="U30" s="45">
        <f t="shared" si="5"/>
        <v>479.86724799999996</v>
      </c>
      <c r="V30" s="45">
        <f t="shared" si="6"/>
        <v>0</v>
      </c>
      <c r="W30" s="45">
        <f t="shared" si="7"/>
        <v>479.86724799999996</v>
      </c>
      <c r="X30" s="51"/>
      <c r="Y30" s="74">
        <f t="shared" si="11"/>
        <v>0</v>
      </c>
      <c r="Z30" s="72">
        <f t="shared" si="12"/>
        <v>479.86724799999996</v>
      </c>
      <c r="AA30" s="72"/>
      <c r="AB30" s="72"/>
      <c r="AC30" s="72"/>
      <c r="AD30" s="72"/>
      <c r="AE30" s="72"/>
      <c r="AF30" s="92">
        <f t="shared" si="13"/>
        <v>479.86724799999996</v>
      </c>
      <c r="AG30" s="96">
        <f t="shared" si="18"/>
        <v>4853.2393896000003</v>
      </c>
      <c r="AH30" s="147">
        <f t="shared" si="15"/>
        <v>4622.1327520000004</v>
      </c>
      <c r="AI30" s="125">
        <f t="shared" si="16"/>
        <v>10204</v>
      </c>
      <c r="AJ30" s="140">
        <f t="shared" si="17"/>
        <v>5255.06</v>
      </c>
      <c r="AK30" s="80">
        <v>5102</v>
      </c>
      <c r="AM30" s="93">
        <v>4625.26638</v>
      </c>
    </row>
    <row r="31" spans="1:41" ht="22.5" x14ac:dyDescent="0.2">
      <c r="A31" s="64">
        <v>27</v>
      </c>
      <c r="B31" s="106" t="s">
        <v>124</v>
      </c>
      <c r="C31" s="61" t="s">
        <v>88</v>
      </c>
      <c r="D31" s="52">
        <f t="shared" si="9"/>
        <v>346.46666666666664</v>
      </c>
      <c r="E31" s="57">
        <f t="shared" si="10"/>
        <v>5197</v>
      </c>
      <c r="F31" s="52">
        <v>0</v>
      </c>
      <c r="G31" s="52">
        <v>0</v>
      </c>
      <c r="H31" s="52">
        <v>0</v>
      </c>
      <c r="I31" s="52">
        <v>0</v>
      </c>
      <c r="J31" s="52"/>
      <c r="K31" s="52">
        <v>0</v>
      </c>
      <c r="L31" s="46">
        <f t="shared" si="0"/>
        <v>5197</v>
      </c>
      <c r="M31" s="53"/>
      <c r="N31" s="45">
        <f t="shared" si="1"/>
        <v>0</v>
      </c>
      <c r="O31" s="45">
        <f t="shared" si="2"/>
        <v>5197</v>
      </c>
      <c r="P31" s="77">
        <v>4949.5600000000004</v>
      </c>
      <c r="Q31" s="45">
        <f t="shared" si="3"/>
        <v>247.4399999999996</v>
      </c>
      <c r="R31" s="77">
        <v>0.1792</v>
      </c>
      <c r="S31" s="45">
        <f t="shared" si="4"/>
        <v>44.341247999999929</v>
      </c>
      <c r="T31" s="77">
        <v>452.55</v>
      </c>
      <c r="U31" s="45">
        <f t="shared" si="5"/>
        <v>496.89124799999996</v>
      </c>
      <c r="V31" s="45">
        <f t="shared" si="6"/>
        <v>0</v>
      </c>
      <c r="W31" s="45">
        <f t="shared" si="7"/>
        <v>496.89124799999996</v>
      </c>
      <c r="X31" s="51"/>
      <c r="Y31" s="74">
        <f t="shared" si="11"/>
        <v>0</v>
      </c>
      <c r="Z31" s="72">
        <f t="shared" si="12"/>
        <v>496.89124799999996</v>
      </c>
      <c r="AA31" s="72"/>
      <c r="AB31" s="72"/>
      <c r="AC31" s="72"/>
      <c r="AD31" s="72"/>
      <c r="AE31" s="72"/>
      <c r="AF31" s="92">
        <f t="shared" si="13"/>
        <v>496.89124799999996</v>
      </c>
      <c r="AG31" s="96">
        <f t="shared" si="18"/>
        <v>4935.1141895999999</v>
      </c>
      <c r="AH31" s="147">
        <f t="shared" si="15"/>
        <v>4700.1087520000001</v>
      </c>
      <c r="AI31" s="125">
        <f t="shared" si="16"/>
        <v>10394</v>
      </c>
      <c r="AJ31" s="140">
        <f t="shared" si="17"/>
        <v>5352.91</v>
      </c>
      <c r="AK31" s="80">
        <v>5197</v>
      </c>
      <c r="AM31" s="93">
        <v>4704.6463800000001</v>
      </c>
    </row>
    <row r="32" spans="1:41" ht="22.5" x14ac:dyDescent="0.2">
      <c r="A32" s="64">
        <v>28</v>
      </c>
      <c r="B32" s="106" t="s">
        <v>75</v>
      </c>
      <c r="C32" s="60" t="s">
        <v>76</v>
      </c>
      <c r="D32" s="52">
        <f t="shared" si="9"/>
        <v>357.06666666666666</v>
      </c>
      <c r="E32" s="57">
        <f t="shared" si="10"/>
        <v>5356</v>
      </c>
      <c r="F32" s="52">
        <v>0</v>
      </c>
      <c r="G32" s="52">
        <v>0</v>
      </c>
      <c r="H32" s="52">
        <v>0</v>
      </c>
      <c r="I32" s="52">
        <v>0</v>
      </c>
      <c r="J32" s="52"/>
      <c r="K32" s="52">
        <v>0</v>
      </c>
      <c r="L32" s="46">
        <f t="shared" si="0"/>
        <v>5356</v>
      </c>
      <c r="M32" s="51"/>
      <c r="N32" s="45">
        <f t="shared" si="1"/>
        <v>0</v>
      </c>
      <c r="O32" s="45">
        <f t="shared" si="2"/>
        <v>5356</v>
      </c>
      <c r="P32" s="77">
        <v>4949.5600000000004</v>
      </c>
      <c r="Q32" s="45">
        <f t="shared" si="3"/>
        <v>406.4399999999996</v>
      </c>
      <c r="R32" s="77">
        <v>0.1792</v>
      </c>
      <c r="S32" s="45">
        <f t="shared" si="4"/>
        <v>72.834047999999925</v>
      </c>
      <c r="T32" s="77">
        <v>452.55</v>
      </c>
      <c r="U32" s="45">
        <f t="shared" si="5"/>
        <v>525.38404799999989</v>
      </c>
      <c r="V32" s="45">
        <f t="shared" si="6"/>
        <v>0</v>
      </c>
      <c r="W32" s="45">
        <f t="shared" si="7"/>
        <v>525.38404799999989</v>
      </c>
      <c r="X32" s="51"/>
      <c r="Y32" s="74">
        <f t="shared" si="11"/>
        <v>0</v>
      </c>
      <c r="Z32" s="72">
        <f t="shared" si="12"/>
        <v>525.38404799999989</v>
      </c>
      <c r="AA32" s="72"/>
      <c r="AB32" s="72"/>
      <c r="AC32" s="72"/>
      <c r="AD32" s="72"/>
      <c r="AE32" s="72"/>
      <c r="AF32" s="92">
        <f t="shared" si="13"/>
        <v>525.38404799999989</v>
      </c>
      <c r="AG32" s="96">
        <f t="shared" si="18"/>
        <v>5072.1467496000005</v>
      </c>
      <c r="AH32" s="147">
        <f t="shared" si="15"/>
        <v>4830.6159520000001</v>
      </c>
      <c r="AI32" s="125">
        <f t="shared" si="16"/>
        <v>10712</v>
      </c>
      <c r="AJ32" s="140">
        <f t="shared" si="17"/>
        <v>5516.68</v>
      </c>
      <c r="AK32" s="80">
        <v>5356</v>
      </c>
      <c r="AM32" s="93">
        <v>4830.4006295999998</v>
      </c>
    </row>
    <row r="33" spans="1:41" ht="45" x14ac:dyDescent="0.2">
      <c r="A33" s="48">
        <v>29</v>
      </c>
      <c r="B33" s="106" t="s">
        <v>118</v>
      </c>
      <c r="C33" s="61" t="s">
        <v>188</v>
      </c>
      <c r="D33" s="52">
        <f t="shared" si="9"/>
        <v>343.13333333333333</v>
      </c>
      <c r="E33" s="57">
        <f t="shared" si="10"/>
        <v>5147</v>
      </c>
      <c r="F33" s="52">
        <v>0</v>
      </c>
      <c r="G33" s="52">
        <v>0</v>
      </c>
      <c r="H33" s="52">
        <v>0</v>
      </c>
      <c r="I33" s="52">
        <v>0</v>
      </c>
      <c r="J33" s="52"/>
      <c r="K33" s="52">
        <v>0</v>
      </c>
      <c r="L33" s="46">
        <f t="shared" si="0"/>
        <v>5147</v>
      </c>
      <c r="M33" s="53"/>
      <c r="N33" s="45">
        <f t="shared" si="1"/>
        <v>0</v>
      </c>
      <c r="O33" s="45">
        <f t="shared" si="2"/>
        <v>5147</v>
      </c>
      <c r="P33" s="77">
        <v>4949.5600000000004</v>
      </c>
      <c r="Q33" s="45">
        <f t="shared" si="3"/>
        <v>197.4399999999996</v>
      </c>
      <c r="R33" s="77">
        <v>0.1792</v>
      </c>
      <c r="S33" s="45">
        <f t="shared" si="4"/>
        <v>35.381247999999928</v>
      </c>
      <c r="T33" s="77">
        <v>452.55</v>
      </c>
      <c r="U33" s="45">
        <f t="shared" si="5"/>
        <v>487.93124799999993</v>
      </c>
      <c r="V33" s="45">
        <f t="shared" si="6"/>
        <v>0</v>
      </c>
      <c r="W33" s="45">
        <f t="shared" si="7"/>
        <v>487.93124799999993</v>
      </c>
      <c r="X33" s="51"/>
      <c r="Y33" s="74">
        <f t="shared" si="11"/>
        <v>0</v>
      </c>
      <c r="Z33" s="72">
        <f t="shared" si="12"/>
        <v>487.93124799999993</v>
      </c>
      <c r="AA33" s="72"/>
      <c r="AB33" s="72"/>
      <c r="AC33" s="72"/>
      <c r="AD33" s="72"/>
      <c r="AE33" s="72"/>
      <c r="AF33" s="92">
        <f t="shared" si="13"/>
        <v>487.93124799999993</v>
      </c>
      <c r="AG33" s="96">
        <f t="shared" si="18"/>
        <v>4892.0221896000003</v>
      </c>
      <c r="AH33" s="147">
        <f t="shared" si="15"/>
        <v>4659.0687520000001</v>
      </c>
      <c r="AI33" s="125">
        <f t="shared" si="16"/>
        <v>10294</v>
      </c>
      <c r="AJ33" s="140">
        <f t="shared" si="17"/>
        <v>5301.41</v>
      </c>
      <c r="AK33" s="80">
        <v>5147</v>
      </c>
      <c r="AM33" s="93">
        <v>4662.310379999999</v>
      </c>
    </row>
    <row r="34" spans="1:41" ht="22.5" x14ac:dyDescent="0.2">
      <c r="A34" s="64">
        <v>30</v>
      </c>
      <c r="B34" s="106" t="s">
        <v>184</v>
      </c>
      <c r="C34" s="61" t="s">
        <v>185</v>
      </c>
      <c r="D34" s="52">
        <f t="shared" si="9"/>
        <v>348.53333333333336</v>
      </c>
      <c r="E34" s="57">
        <f t="shared" si="10"/>
        <v>5228</v>
      </c>
      <c r="F34" s="52">
        <v>0</v>
      </c>
      <c r="G34" s="52">
        <v>0</v>
      </c>
      <c r="H34" s="52"/>
      <c r="I34" s="52"/>
      <c r="J34" s="52"/>
      <c r="K34" s="52">
        <v>0</v>
      </c>
      <c r="L34" s="46">
        <f t="shared" si="0"/>
        <v>5228</v>
      </c>
      <c r="M34" s="53"/>
      <c r="N34" s="45">
        <f t="shared" si="1"/>
        <v>0</v>
      </c>
      <c r="O34" s="45">
        <f t="shared" si="2"/>
        <v>5228</v>
      </c>
      <c r="P34" s="77">
        <v>4949.5600000000004</v>
      </c>
      <c r="Q34" s="45">
        <f t="shared" si="3"/>
        <v>278.4399999999996</v>
      </c>
      <c r="R34" s="77">
        <v>0.1792</v>
      </c>
      <c r="S34" s="45">
        <f t="shared" si="4"/>
        <v>49.896447999999928</v>
      </c>
      <c r="T34" s="77">
        <v>452.55</v>
      </c>
      <c r="U34" s="45">
        <f t="shared" si="5"/>
        <v>502.44644799999992</v>
      </c>
      <c r="V34" s="45">
        <f t="shared" si="6"/>
        <v>0</v>
      </c>
      <c r="W34" s="45">
        <f t="shared" si="7"/>
        <v>502.44644799999992</v>
      </c>
      <c r="X34" s="51"/>
      <c r="Y34" s="74">
        <f t="shared" si="11"/>
        <v>0</v>
      </c>
      <c r="Z34" s="72">
        <f t="shared" si="12"/>
        <v>502.44644799999992</v>
      </c>
      <c r="AA34" s="72"/>
      <c r="AB34" s="72"/>
      <c r="AC34" s="72"/>
      <c r="AD34" s="72"/>
      <c r="AE34" s="72"/>
      <c r="AF34" s="92">
        <f t="shared" si="13"/>
        <v>502.44644799999992</v>
      </c>
      <c r="AG34" s="96">
        <f t="shared" si="18"/>
        <v>4961.8312296000004</v>
      </c>
      <c r="AH34" s="147">
        <f t="shared" si="15"/>
        <v>4725.5535520000003</v>
      </c>
      <c r="AI34" s="125">
        <f t="shared" si="16"/>
        <v>10456</v>
      </c>
      <c r="AJ34" s="140">
        <f t="shared" si="17"/>
        <v>5384.84</v>
      </c>
      <c r="AK34" s="80">
        <v>5228</v>
      </c>
      <c r="AM34" s="93">
        <v>4725.6870696000005</v>
      </c>
    </row>
    <row r="35" spans="1:41" x14ac:dyDescent="0.2">
      <c r="A35" s="64">
        <v>31</v>
      </c>
      <c r="B35" s="106" t="s">
        <v>210</v>
      </c>
      <c r="C35" s="58" t="s">
        <v>108</v>
      </c>
      <c r="D35" s="52">
        <f t="shared" si="9"/>
        <v>330.26666666666665</v>
      </c>
      <c r="E35" s="57">
        <f t="shared" si="10"/>
        <v>4954</v>
      </c>
      <c r="F35" s="52">
        <v>0</v>
      </c>
      <c r="G35" s="52">
        <v>0</v>
      </c>
      <c r="H35" s="52"/>
      <c r="I35" s="52"/>
      <c r="J35" s="52"/>
      <c r="K35" s="52">
        <v>0</v>
      </c>
      <c r="L35" s="46">
        <f t="shared" si="0"/>
        <v>4954</v>
      </c>
      <c r="M35" s="53"/>
      <c r="N35" s="45">
        <f t="shared" si="1"/>
        <v>0</v>
      </c>
      <c r="O35" s="45">
        <f t="shared" si="2"/>
        <v>4954</v>
      </c>
      <c r="P35" s="77">
        <v>4949.5600000000004</v>
      </c>
      <c r="Q35" s="45">
        <f t="shared" si="3"/>
        <v>4.4399999999995998</v>
      </c>
      <c r="R35" s="77">
        <v>0.1792</v>
      </c>
      <c r="S35" s="45">
        <f t="shared" si="4"/>
        <v>0.7956479999999283</v>
      </c>
      <c r="T35" s="77">
        <v>452.55</v>
      </c>
      <c r="U35" s="45">
        <f t="shared" si="5"/>
        <v>453.34564799999993</v>
      </c>
      <c r="V35" s="45">
        <f t="shared" si="6"/>
        <v>0</v>
      </c>
      <c r="W35" s="45">
        <f t="shared" si="7"/>
        <v>453.34564799999993</v>
      </c>
      <c r="X35" s="51"/>
      <c r="Y35" s="74">
        <f t="shared" si="11"/>
        <v>0</v>
      </c>
      <c r="Z35" s="72">
        <f t="shared" si="12"/>
        <v>453.34564799999993</v>
      </c>
      <c r="AA35" s="72"/>
      <c r="AB35" s="72"/>
      <c r="AC35" s="72"/>
      <c r="AD35" s="72"/>
      <c r="AE35" s="72"/>
      <c r="AF35" s="92">
        <f t="shared" si="13"/>
        <v>453.34564799999993</v>
      </c>
      <c r="AG35" s="96">
        <f t="shared" si="18"/>
        <v>4725.6870696000005</v>
      </c>
      <c r="AH35" s="147">
        <f t="shared" si="15"/>
        <v>4500.6543520000005</v>
      </c>
      <c r="AI35" s="125">
        <f t="shared" si="16"/>
        <v>9908</v>
      </c>
      <c r="AJ35" s="140">
        <f t="shared" si="17"/>
        <v>5102.62</v>
      </c>
      <c r="AK35" s="80">
        <v>4954</v>
      </c>
      <c r="AM35" s="93">
        <v>4120.1396679999998</v>
      </c>
    </row>
    <row r="36" spans="1:41" ht="22.5" x14ac:dyDescent="0.2">
      <c r="A36" s="48">
        <v>32</v>
      </c>
      <c r="B36" s="106" t="s">
        <v>218</v>
      </c>
      <c r="C36" s="60" t="s">
        <v>219</v>
      </c>
      <c r="D36" s="52">
        <f t="shared" si="9"/>
        <v>290.60000000000002</v>
      </c>
      <c r="E36" s="57">
        <f t="shared" si="10"/>
        <v>4359</v>
      </c>
      <c r="F36" s="52">
        <v>0</v>
      </c>
      <c r="G36" s="52">
        <v>0</v>
      </c>
      <c r="H36" s="52"/>
      <c r="I36" s="52"/>
      <c r="J36" s="52"/>
      <c r="K36" s="52">
        <v>0</v>
      </c>
      <c r="L36" s="46">
        <f t="shared" si="0"/>
        <v>4359</v>
      </c>
      <c r="M36" s="53"/>
      <c r="N36" s="45">
        <f t="shared" si="1"/>
        <v>0</v>
      </c>
      <c r="O36" s="45">
        <f t="shared" si="2"/>
        <v>4359</v>
      </c>
      <c r="P36" s="77">
        <v>4257.91</v>
      </c>
      <c r="Q36" s="45">
        <f t="shared" si="3"/>
        <v>101.09000000000015</v>
      </c>
      <c r="R36" s="77">
        <v>0.16</v>
      </c>
      <c r="S36" s="45">
        <f t="shared" si="4"/>
        <v>16.174400000000023</v>
      </c>
      <c r="T36" s="77">
        <v>341.85</v>
      </c>
      <c r="U36" s="45">
        <f t="shared" si="5"/>
        <v>358.02440000000007</v>
      </c>
      <c r="V36" s="45">
        <f t="shared" si="6"/>
        <v>0</v>
      </c>
      <c r="W36" s="45">
        <f t="shared" si="7"/>
        <v>358.02440000000007</v>
      </c>
      <c r="X36" s="51"/>
      <c r="Y36" s="74">
        <f t="shared" si="11"/>
        <v>0</v>
      </c>
      <c r="Z36" s="72">
        <f t="shared" si="12"/>
        <v>358.02440000000007</v>
      </c>
      <c r="AA36" s="72"/>
      <c r="AB36" s="72"/>
      <c r="AC36" s="72"/>
      <c r="AD36" s="72"/>
      <c r="AE36" s="72"/>
      <c r="AF36" s="92">
        <f t="shared" si="13"/>
        <v>358.02440000000007</v>
      </c>
      <c r="AG36" s="96">
        <f t="shared" si="18"/>
        <v>4201.0243799999998</v>
      </c>
      <c r="AH36" s="147">
        <f t="shared" si="15"/>
        <v>4000.9755999999998</v>
      </c>
      <c r="AI36" s="125">
        <f t="shared" si="16"/>
        <v>8718</v>
      </c>
      <c r="AJ36" s="140">
        <f t="shared" si="17"/>
        <v>4489.7700000000004</v>
      </c>
      <c r="AK36" s="80">
        <v>4359</v>
      </c>
      <c r="AM36" s="93">
        <v>4000</v>
      </c>
    </row>
    <row r="37" spans="1:41" x14ac:dyDescent="0.2">
      <c r="A37" s="64">
        <v>33</v>
      </c>
      <c r="B37" s="106" t="s">
        <v>122</v>
      </c>
      <c r="C37" s="58" t="s">
        <v>123</v>
      </c>
      <c r="D37" s="52">
        <f t="shared" si="9"/>
        <v>331</v>
      </c>
      <c r="E37" s="57">
        <f t="shared" si="10"/>
        <v>4965</v>
      </c>
      <c r="F37" s="52">
        <v>0</v>
      </c>
      <c r="G37" s="52">
        <v>0</v>
      </c>
      <c r="H37" s="52">
        <v>0</v>
      </c>
      <c r="I37" s="52">
        <v>0</v>
      </c>
      <c r="J37" s="52"/>
      <c r="K37" s="52">
        <v>0</v>
      </c>
      <c r="L37" s="46">
        <f t="shared" si="0"/>
        <v>4965</v>
      </c>
      <c r="M37" s="53"/>
      <c r="N37" s="45">
        <f t="shared" si="1"/>
        <v>0</v>
      </c>
      <c r="O37" s="45">
        <f t="shared" si="2"/>
        <v>4965</v>
      </c>
      <c r="P37" s="77">
        <v>4949.5600000000004</v>
      </c>
      <c r="Q37" s="45">
        <f t="shared" si="3"/>
        <v>15.4399999999996</v>
      </c>
      <c r="R37" s="77">
        <v>0.1792</v>
      </c>
      <c r="S37" s="45">
        <f t="shared" si="4"/>
        <v>2.7668479999999285</v>
      </c>
      <c r="T37" s="77">
        <v>452.55</v>
      </c>
      <c r="U37" s="45">
        <f t="shared" si="5"/>
        <v>455.31684799999994</v>
      </c>
      <c r="V37" s="45">
        <f t="shared" si="6"/>
        <v>0</v>
      </c>
      <c r="W37" s="45">
        <f t="shared" si="7"/>
        <v>455.31684799999994</v>
      </c>
      <c r="X37" s="51"/>
      <c r="Y37" s="74">
        <f t="shared" si="11"/>
        <v>0</v>
      </c>
      <c r="Z37" s="72">
        <f t="shared" si="12"/>
        <v>455.31684799999994</v>
      </c>
      <c r="AA37" s="72"/>
      <c r="AB37" s="72"/>
      <c r="AC37" s="72"/>
      <c r="AD37" s="72"/>
      <c r="AE37" s="72"/>
      <c r="AF37" s="92">
        <f t="shared" si="13"/>
        <v>455.31684799999994</v>
      </c>
      <c r="AG37" s="96">
        <f t="shared" si="18"/>
        <v>4735.1673095999995</v>
      </c>
      <c r="AH37" s="147">
        <f t="shared" si="15"/>
        <v>4509.6831519999996</v>
      </c>
      <c r="AI37" s="125">
        <f t="shared" si="16"/>
        <v>9930</v>
      </c>
      <c r="AJ37" s="140">
        <f t="shared" si="17"/>
        <v>5113.95</v>
      </c>
      <c r="AK37" s="80">
        <v>4965</v>
      </c>
      <c r="AM37" s="93">
        <v>4510.1653799999995</v>
      </c>
    </row>
    <row r="38" spans="1:41" s="252" customFormat="1" x14ac:dyDescent="0.2">
      <c r="A38" s="233">
        <v>34</v>
      </c>
      <c r="B38" s="232" t="s">
        <v>125</v>
      </c>
      <c r="C38" s="234" t="s">
        <v>100</v>
      </c>
      <c r="D38" s="235">
        <f t="shared" si="9"/>
        <v>404.4</v>
      </c>
      <c r="E38" s="236">
        <f t="shared" si="10"/>
        <v>6066</v>
      </c>
      <c r="F38" s="235">
        <v>0</v>
      </c>
      <c r="G38" s="235">
        <v>0</v>
      </c>
      <c r="H38" s="235">
        <v>0</v>
      </c>
      <c r="I38" s="235">
        <v>0</v>
      </c>
      <c r="J38" s="235"/>
      <c r="K38" s="235">
        <v>0</v>
      </c>
      <c r="L38" s="237">
        <f t="shared" si="0"/>
        <v>6066</v>
      </c>
      <c r="M38" s="238"/>
      <c r="N38" s="239">
        <f t="shared" ref="N38:N73" si="19">IF(D38=47.16,0,IF(D38&gt;47.16,I38*0.5,0))</f>
        <v>0</v>
      </c>
      <c r="O38" s="239">
        <f t="shared" si="2"/>
        <v>6066</v>
      </c>
      <c r="P38" s="239">
        <v>5925.91</v>
      </c>
      <c r="Q38" s="239">
        <f t="shared" si="3"/>
        <v>140.09000000000015</v>
      </c>
      <c r="R38" s="239">
        <v>0.21360000000000001</v>
      </c>
      <c r="S38" s="239">
        <f t="shared" si="4"/>
        <v>29.923224000000033</v>
      </c>
      <c r="T38" s="239">
        <v>627.6</v>
      </c>
      <c r="U38" s="239">
        <f t="shared" si="5"/>
        <v>657.52322400000003</v>
      </c>
      <c r="V38" s="239">
        <f t="shared" ref="V38:V74" si="20">VLOOKUP(O38,Credito1,2)</f>
        <v>0</v>
      </c>
      <c r="W38" s="239">
        <f t="shared" si="7"/>
        <v>657.52322400000003</v>
      </c>
      <c r="X38" s="240"/>
      <c r="Y38" s="241">
        <f t="shared" si="11"/>
        <v>0</v>
      </c>
      <c r="Z38" s="242">
        <f t="shared" si="12"/>
        <v>657.52322400000003</v>
      </c>
      <c r="AA38" s="242"/>
      <c r="AB38" s="242"/>
      <c r="AC38" s="242"/>
      <c r="AD38" s="242"/>
      <c r="AE38" s="242"/>
      <c r="AF38" s="243">
        <f t="shared" si="13"/>
        <v>657.52322400000003</v>
      </c>
      <c r="AG38" s="244">
        <f t="shared" si="18"/>
        <v>5678.9006147999999</v>
      </c>
      <c r="AH38" s="245">
        <f t="shared" si="15"/>
        <v>5408.4767759999995</v>
      </c>
      <c r="AI38" s="246">
        <f t="shared" si="16"/>
        <v>12132</v>
      </c>
      <c r="AJ38" s="247">
        <f t="shared" si="17"/>
        <v>6247.98</v>
      </c>
      <c r="AK38" s="248">
        <v>6066</v>
      </c>
      <c r="AL38" s="249">
        <f>AN38-AM38</f>
        <v>626.07053039999937</v>
      </c>
      <c r="AM38" s="250">
        <v>5413.0044696000004</v>
      </c>
      <c r="AN38" s="251">
        <v>6039.0749999999998</v>
      </c>
      <c r="AO38" s="253">
        <f>AK38-AF38</f>
        <v>5408.4767759999995</v>
      </c>
    </row>
    <row r="39" spans="1:41" x14ac:dyDescent="0.2">
      <c r="A39" s="48">
        <v>35</v>
      </c>
      <c r="B39" s="106" t="s">
        <v>70</v>
      </c>
      <c r="C39" s="58" t="s">
        <v>67</v>
      </c>
      <c r="D39" s="52">
        <f t="shared" si="9"/>
        <v>348.53333333333336</v>
      </c>
      <c r="E39" s="57">
        <f t="shared" si="10"/>
        <v>5228</v>
      </c>
      <c r="F39" s="52">
        <v>0</v>
      </c>
      <c r="G39" s="52">
        <v>0</v>
      </c>
      <c r="H39" s="52">
        <v>0</v>
      </c>
      <c r="I39" s="52">
        <v>0</v>
      </c>
      <c r="J39" s="52"/>
      <c r="K39" s="52">
        <v>0</v>
      </c>
      <c r="L39" s="46">
        <f t="shared" si="0"/>
        <v>5228</v>
      </c>
      <c r="M39" s="45"/>
      <c r="N39" s="45">
        <f t="shared" si="19"/>
        <v>0</v>
      </c>
      <c r="O39" s="45">
        <f t="shared" si="2"/>
        <v>5228</v>
      </c>
      <c r="P39" s="77">
        <v>4949.5600000000004</v>
      </c>
      <c r="Q39" s="45">
        <f t="shared" si="3"/>
        <v>278.4399999999996</v>
      </c>
      <c r="R39" s="77">
        <v>0.1792</v>
      </c>
      <c r="S39" s="45">
        <f t="shared" si="4"/>
        <v>49.896447999999928</v>
      </c>
      <c r="T39" s="77">
        <v>452.55</v>
      </c>
      <c r="U39" s="45">
        <f t="shared" si="5"/>
        <v>502.44644799999992</v>
      </c>
      <c r="V39" s="45">
        <f t="shared" si="20"/>
        <v>0</v>
      </c>
      <c r="W39" s="45">
        <f t="shared" si="7"/>
        <v>502.44644799999992</v>
      </c>
      <c r="X39" s="45"/>
      <c r="Y39" s="74">
        <f t="shared" si="11"/>
        <v>0</v>
      </c>
      <c r="Z39" s="72">
        <f t="shared" si="12"/>
        <v>502.44644799999992</v>
      </c>
      <c r="AA39" s="72"/>
      <c r="AB39" s="72"/>
      <c r="AC39" s="72"/>
      <c r="AD39" s="72"/>
      <c r="AE39" s="72"/>
      <c r="AF39" s="92">
        <f t="shared" si="13"/>
        <v>502.44644799999992</v>
      </c>
      <c r="AG39" s="96">
        <f>(AH39*0.05)+AH39</f>
        <v>4961.8312296000004</v>
      </c>
      <c r="AH39" s="147">
        <f t="shared" si="15"/>
        <v>4725.5535520000003</v>
      </c>
      <c r="AI39" s="125">
        <f t="shared" si="16"/>
        <v>10456</v>
      </c>
      <c r="AJ39" s="140">
        <f t="shared" si="17"/>
        <v>5384.84</v>
      </c>
      <c r="AK39" s="80">
        <v>5228</v>
      </c>
      <c r="AM39" s="93">
        <v>4725.6870696000005</v>
      </c>
    </row>
    <row r="40" spans="1:41" x14ac:dyDescent="0.2">
      <c r="A40" s="64">
        <v>36</v>
      </c>
      <c r="B40" s="106" t="s">
        <v>66</v>
      </c>
      <c r="C40" s="58" t="s">
        <v>67</v>
      </c>
      <c r="D40" s="52">
        <f t="shared" si="9"/>
        <v>348.53333333333336</v>
      </c>
      <c r="E40" s="57">
        <f t="shared" si="10"/>
        <v>5228</v>
      </c>
      <c r="F40" s="52">
        <v>0</v>
      </c>
      <c r="G40" s="52">
        <v>0</v>
      </c>
      <c r="H40" s="52">
        <v>0</v>
      </c>
      <c r="I40" s="52">
        <v>0</v>
      </c>
      <c r="J40" s="52"/>
      <c r="K40" s="52">
        <v>0</v>
      </c>
      <c r="L40" s="46">
        <f t="shared" si="0"/>
        <v>5228</v>
      </c>
      <c r="M40" s="53"/>
      <c r="N40" s="45">
        <f t="shared" si="19"/>
        <v>0</v>
      </c>
      <c r="O40" s="45">
        <f t="shared" si="2"/>
        <v>5228</v>
      </c>
      <c r="P40" s="77">
        <v>4949.5600000000004</v>
      </c>
      <c r="Q40" s="45">
        <f t="shared" si="3"/>
        <v>278.4399999999996</v>
      </c>
      <c r="R40" s="77">
        <v>0.1792</v>
      </c>
      <c r="S40" s="45">
        <f t="shared" si="4"/>
        <v>49.896447999999928</v>
      </c>
      <c r="T40" s="77">
        <v>452.55</v>
      </c>
      <c r="U40" s="45">
        <f t="shared" si="5"/>
        <v>502.44644799999992</v>
      </c>
      <c r="V40" s="45">
        <f t="shared" si="20"/>
        <v>0</v>
      </c>
      <c r="W40" s="45">
        <f t="shared" si="7"/>
        <v>502.44644799999992</v>
      </c>
      <c r="X40" s="51"/>
      <c r="Y40" s="74">
        <f t="shared" si="11"/>
        <v>0</v>
      </c>
      <c r="Z40" s="72">
        <f t="shared" si="12"/>
        <v>502.44644799999992</v>
      </c>
      <c r="AA40" s="72"/>
      <c r="AB40" s="72"/>
      <c r="AC40" s="72"/>
      <c r="AD40" s="72"/>
      <c r="AE40" s="72"/>
      <c r="AF40" s="92">
        <f t="shared" si="13"/>
        <v>502.44644799999992</v>
      </c>
      <c r="AG40" s="96">
        <f>(AH40*0.05)+AH40</f>
        <v>4961.8312296000004</v>
      </c>
      <c r="AH40" s="147">
        <f t="shared" si="15"/>
        <v>4725.5535520000003</v>
      </c>
      <c r="AI40" s="125">
        <f t="shared" si="16"/>
        <v>10456</v>
      </c>
      <c r="AJ40" s="140">
        <f t="shared" si="17"/>
        <v>5384.84</v>
      </c>
      <c r="AK40" s="80">
        <v>5228</v>
      </c>
      <c r="AM40" s="93">
        <v>4725.6870696000005</v>
      </c>
    </row>
    <row r="41" spans="1:41" x14ac:dyDescent="0.2">
      <c r="A41" s="64">
        <v>37</v>
      </c>
      <c r="B41" s="106" t="s">
        <v>73</v>
      </c>
      <c r="C41" s="58" t="s">
        <v>67</v>
      </c>
      <c r="D41" s="52">
        <f t="shared" si="9"/>
        <v>340.13333333333333</v>
      </c>
      <c r="E41" s="57">
        <f t="shared" si="10"/>
        <v>5102</v>
      </c>
      <c r="F41" s="52">
        <v>0</v>
      </c>
      <c r="G41" s="52">
        <v>0</v>
      </c>
      <c r="H41" s="52">
        <v>0</v>
      </c>
      <c r="I41" s="52">
        <v>0</v>
      </c>
      <c r="J41" s="52"/>
      <c r="K41" s="52">
        <v>0</v>
      </c>
      <c r="L41" s="46">
        <f t="shared" si="0"/>
        <v>5102</v>
      </c>
      <c r="M41" s="51"/>
      <c r="N41" s="45">
        <f t="shared" si="19"/>
        <v>0</v>
      </c>
      <c r="O41" s="45">
        <f t="shared" si="2"/>
        <v>5102</v>
      </c>
      <c r="P41" s="77">
        <v>4949.5600000000004</v>
      </c>
      <c r="Q41" s="45">
        <f t="shared" si="3"/>
        <v>152.4399999999996</v>
      </c>
      <c r="R41" s="77">
        <v>0.1792</v>
      </c>
      <c r="S41" s="45">
        <f t="shared" si="4"/>
        <v>27.317247999999928</v>
      </c>
      <c r="T41" s="77">
        <v>452.55</v>
      </c>
      <c r="U41" s="45">
        <f t="shared" si="5"/>
        <v>479.86724799999996</v>
      </c>
      <c r="V41" s="45">
        <f t="shared" si="20"/>
        <v>0</v>
      </c>
      <c r="W41" s="45">
        <f t="shared" si="7"/>
        <v>479.86724799999996</v>
      </c>
      <c r="X41" s="51"/>
      <c r="Y41" s="74">
        <f t="shared" si="11"/>
        <v>0</v>
      </c>
      <c r="Z41" s="72">
        <f t="shared" si="12"/>
        <v>479.86724799999996</v>
      </c>
      <c r="AA41" s="72"/>
      <c r="AB41" s="72"/>
      <c r="AC41" s="72"/>
      <c r="AD41" s="72"/>
      <c r="AE41" s="72"/>
      <c r="AF41" s="92">
        <f t="shared" si="13"/>
        <v>479.86724799999996</v>
      </c>
      <c r="AG41" s="96">
        <f>(AH41*0.05)+AH41</f>
        <v>4853.2393896000003</v>
      </c>
      <c r="AH41" s="147">
        <f t="shared" si="15"/>
        <v>4622.1327520000004</v>
      </c>
      <c r="AI41" s="125">
        <f t="shared" si="16"/>
        <v>10204</v>
      </c>
      <c r="AJ41" s="140">
        <f t="shared" si="17"/>
        <v>5255.06</v>
      </c>
      <c r="AK41" s="80">
        <v>5102</v>
      </c>
      <c r="AM41" s="93">
        <v>4625.26638</v>
      </c>
    </row>
    <row r="42" spans="1:41" ht="33.75" x14ac:dyDescent="0.2">
      <c r="A42" s="48">
        <v>38</v>
      </c>
      <c r="B42" s="106" t="s">
        <v>214</v>
      </c>
      <c r="C42" s="60" t="s">
        <v>115</v>
      </c>
      <c r="D42" s="52">
        <f t="shared" si="9"/>
        <v>411.46666666666664</v>
      </c>
      <c r="E42" s="57">
        <f t="shared" si="10"/>
        <v>6172</v>
      </c>
      <c r="F42" s="52">
        <v>0</v>
      </c>
      <c r="G42" s="52">
        <v>0</v>
      </c>
      <c r="H42" s="52">
        <v>0</v>
      </c>
      <c r="I42" s="52">
        <v>0</v>
      </c>
      <c r="J42" s="52"/>
      <c r="K42" s="52">
        <v>0</v>
      </c>
      <c r="L42" s="46">
        <f t="shared" si="0"/>
        <v>6172</v>
      </c>
      <c r="M42" s="53"/>
      <c r="N42" s="45">
        <f t="shared" si="19"/>
        <v>0</v>
      </c>
      <c r="O42" s="45">
        <f t="shared" si="2"/>
        <v>6172</v>
      </c>
      <c r="P42" s="77">
        <v>5925.91</v>
      </c>
      <c r="Q42" s="45">
        <f t="shared" si="3"/>
        <v>246.09000000000015</v>
      </c>
      <c r="R42" s="77">
        <v>0.21360000000000001</v>
      </c>
      <c r="S42" s="45">
        <f t="shared" si="4"/>
        <v>52.564824000000037</v>
      </c>
      <c r="T42" s="77">
        <v>627.6</v>
      </c>
      <c r="U42" s="45">
        <f t="shared" si="5"/>
        <v>680.16482400000007</v>
      </c>
      <c r="V42" s="45">
        <f t="shared" si="20"/>
        <v>0</v>
      </c>
      <c r="W42" s="45">
        <f t="shared" si="7"/>
        <v>680.16482400000007</v>
      </c>
      <c r="X42" s="51"/>
      <c r="Y42" s="74">
        <f t="shared" si="11"/>
        <v>0</v>
      </c>
      <c r="Z42" s="72">
        <f t="shared" si="12"/>
        <v>680.16482400000007</v>
      </c>
      <c r="AA42" s="72"/>
      <c r="AB42" s="72"/>
      <c r="AC42" s="72"/>
      <c r="AD42" s="72"/>
      <c r="AE42" s="72"/>
      <c r="AF42" s="92">
        <f t="shared" si="13"/>
        <v>680.16482400000007</v>
      </c>
      <c r="AG42" s="96"/>
      <c r="AH42" s="147">
        <f t="shared" si="15"/>
        <v>5491.8351759999996</v>
      </c>
      <c r="AI42" s="125">
        <f t="shared" si="16"/>
        <v>12344</v>
      </c>
      <c r="AJ42" s="140">
        <f t="shared" si="17"/>
        <v>6357.16</v>
      </c>
      <c r="AK42" s="80">
        <v>6172</v>
      </c>
      <c r="AL42" s="99">
        <v>5000</v>
      </c>
      <c r="AM42" s="93">
        <v>5500</v>
      </c>
    </row>
    <row r="43" spans="1:41" s="252" customFormat="1" ht="22.5" x14ac:dyDescent="0.2">
      <c r="A43" s="233">
        <v>39</v>
      </c>
      <c r="B43" s="232" t="s">
        <v>129</v>
      </c>
      <c r="C43" s="256" t="s">
        <v>130</v>
      </c>
      <c r="D43" s="235">
        <f t="shared" si="9"/>
        <v>309.8</v>
      </c>
      <c r="E43" s="236">
        <f t="shared" si="10"/>
        <v>4647</v>
      </c>
      <c r="F43" s="235">
        <v>0</v>
      </c>
      <c r="G43" s="235">
        <v>0</v>
      </c>
      <c r="H43" s="235">
        <v>0</v>
      </c>
      <c r="I43" s="235">
        <v>0</v>
      </c>
      <c r="J43" s="235"/>
      <c r="K43" s="235">
        <v>0</v>
      </c>
      <c r="L43" s="237">
        <f t="shared" si="0"/>
        <v>4647</v>
      </c>
      <c r="M43" s="238"/>
      <c r="N43" s="239">
        <f t="shared" si="19"/>
        <v>0</v>
      </c>
      <c r="O43" s="239">
        <f t="shared" si="2"/>
        <v>4647</v>
      </c>
      <c r="P43" s="239">
        <v>4257.91</v>
      </c>
      <c r="Q43" s="239">
        <f t="shared" si="3"/>
        <v>389.09000000000015</v>
      </c>
      <c r="R43" s="239">
        <v>0.16</v>
      </c>
      <c r="S43" s="239">
        <f t="shared" si="4"/>
        <v>62.254400000000025</v>
      </c>
      <c r="T43" s="239">
        <v>341.85</v>
      </c>
      <c r="U43" s="239">
        <f t="shared" si="5"/>
        <v>404.10440000000006</v>
      </c>
      <c r="V43" s="239">
        <f t="shared" si="20"/>
        <v>0</v>
      </c>
      <c r="W43" s="239">
        <f t="shared" si="7"/>
        <v>404.10440000000006</v>
      </c>
      <c r="X43" s="240"/>
      <c r="Y43" s="241">
        <f t="shared" si="11"/>
        <v>0</v>
      </c>
      <c r="Z43" s="242">
        <f t="shared" si="12"/>
        <v>404.10440000000006</v>
      </c>
      <c r="AA43" s="242"/>
      <c r="AB43" s="242"/>
      <c r="AC43" s="242"/>
      <c r="AD43" s="242"/>
      <c r="AE43" s="242"/>
      <c r="AF43" s="243">
        <f t="shared" si="13"/>
        <v>404.10440000000006</v>
      </c>
      <c r="AG43" s="244">
        <f>(AH43*0.05)+AH43</f>
        <v>4455.0403799999995</v>
      </c>
      <c r="AH43" s="245">
        <f t="shared" si="15"/>
        <v>4242.8955999999998</v>
      </c>
      <c r="AI43" s="246">
        <f t="shared" si="16"/>
        <v>9294</v>
      </c>
      <c r="AJ43" s="247">
        <f t="shared" si="17"/>
        <v>4786.41</v>
      </c>
      <c r="AK43" s="248">
        <v>4647</v>
      </c>
      <c r="AL43" s="255">
        <v>4040</v>
      </c>
      <c r="AM43" s="250">
        <v>4242.4783799999996</v>
      </c>
    </row>
    <row r="44" spans="1:41" s="298" customFormat="1" x14ac:dyDescent="0.2">
      <c r="A44" s="279">
        <v>40</v>
      </c>
      <c r="B44" s="280" t="s">
        <v>144</v>
      </c>
      <c r="C44" s="281" t="s">
        <v>145</v>
      </c>
      <c r="D44" s="282">
        <f t="shared" si="9"/>
        <v>363.46666666666664</v>
      </c>
      <c r="E44" s="283">
        <f t="shared" si="10"/>
        <v>5452</v>
      </c>
      <c r="F44" s="282">
        <v>0</v>
      </c>
      <c r="G44" s="282">
        <v>0</v>
      </c>
      <c r="H44" s="282">
        <v>0</v>
      </c>
      <c r="I44" s="282">
        <v>0</v>
      </c>
      <c r="J44" s="282"/>
      <c r="K44" s="282">
        <v>0</v>
      </c>
      <c r="L44" s="284">
        <f t="shared" si="0"/>
        <v>5452</v>
      </c>
      <c r="M44" s="285"/>
      <c r="N44" s="286">
        <f t="shared" si="19"/>
        <v>0</v>
      </c>
      <c r="O44" s="286">
        <f t="shared" si="2"/>
        <v>5452</v>
      </c>
      <c r="P44" s="286">
        <v>4949.5600000000004</v>
      </c>
      <c r="Q44" s="286">
        <f t="shared" si="3"/>
        <v>502.4399999999996</v>
      </c>
      <c r="R44" s="286">
        <v>0.1792</v>
      </c>
      <c r="S44" s="286">
        <f t="shared" si="4"/>
        <v>90.037247999999934</v>
      </c>
      <c r="T44" s="286">
        <v>452.55</v>
      </c>
      <c r="U44" s="286">
        <f t="shared" si="5"/>
        <v>542.58724799999993</v>
      </c>
      <c r="V44" s="286">
        <f t="shared" si="20"/>
        <v>0</v>
      </c>
      <c r="W44" s="286">
        <f t="shared" si="7"/>
        <v>542.58724799999993</v>
      </c>
      <c r="X44" s="287"/>
      <c r="Y44" s="288">
        <f t="shared" si="11"/>
        <v>0</v>
      </c>
      <c r="Z44" s="289">
        <f t="shared" si="12"/>
        <v>542.58724799999993</v>
      </c>
      <c r="AA44" s="289"/>
      <c r="AB44" s="289"/>
      <c r="AC44" s="289"/>
      <c r="AD44" s="289"/>
      <c r="AE44" s="289"/>
      <c r="AF44" s="290">
        <f t="shared" si="13"/>
        <v>542.58724799999993</v>
      </c>
      <c r="AG44" s="291">
        <f>(AH44*0.05)+AH44</f>
        <v>5154.8833896000006</v>
      </c>
      <c r="AH44" s="292">
        <f t="shared" si="15"/>
        <v>4909.4127520000002</v>
      </c>
      <c r="AI44" s="293">
        <f t="shared" si="16"/>
        <v>10904</v>
      </c>
      <c r="AJ44" s="294">
        <f t="shared" si="17"/>
        <v>5615.56</v>
      </c>
      <c r="AK44" s="295">
        <v>5452</v>
      </c>
      <c r="AL44" s="296">
        <v>4675</v>
      </c>
      <c r="AM44" s="297">
        <v>4909.2589895999999</v>
      </c>
    </row>
    <row r="45" spans="1:41" ht="33.75" x14ac:dyDescent="0.2">
      <c r="A45" s="48">
        <v>41</v>
      </c>
      <c r="B45" s="106" t="s">
        <v>78</v>
      </c>
      <c r="C45" s="60" t="s">
        <v>79</v>
      </c>
      <c r="D45" s="52">
        <f t="shared" si="9"/>
        <v>298.13333333333333</v>
      </c>
      <c r="E45" s="57">
        <f t="shared" si="10"/>
        <v>4472</v>
      </c>
      <c r="F45" s="52">
        <v>0</v>
      </c>
      <c r="G45" s="52">
        <v>0</v>
      </c>
      <c r="H45" s="52">
        <v>0</v>
      </c>
      <c r="I45" s="52">
        <v>0</v>
      </c>
      <c r="J45" s="52"/>
      <c r="K45" s="52">
        <v>0</v>
      </c>
      <c r="L45" s="46">
        <f t="shared" si="0"/>
        <v>4472</v>
      </c>
      <c r="M45" s="51"/>
      <c r="N45" s="45">
        <f t="shared" si="19"/>
        <v>0</v>
      </c>
      <c r="O45" s="45">
        <f t="shared" si="2"/>
        <v>4472</v>
      </c>
      <c r="P45" s="77">
        <v>4257.91</v>
      </c>
      <c r="Q45" s="45">
        <f t="shared" si="3"/>
        <v>214.09000000000015</v>
      </c>
      <c r="R45" s="77">
        <v>0.16</v>
      </c>
      <c r="S45" s="45">
        <f t="shared" si="4"/>
        <v>34.254400000000025</v>
      </c>
      <c r="T45" s="77">
        <v>341.85</v>
      </c>
      <c r="U45" s="45">
        <f t="shared" si="5"/>
        <v>376.10440000000006</v>
      </c>
      <c r="V45" s="45">
        <f t="shared" si="20"/>
        <v>0</v>
      </c>
      <c r="W45" s="45">
        <f t="shared" si="7"/>
        <v>376.10440000000006</v>
      </c>
      <c r="X45" s="51"/>
      <c r="Y45" s="74">
        <f t="shared" si="11"/>
        <v>0</v>
      </c>
      <c r="Z45" s="72">
        <f t="shared" si="12"/>
        <v>376.10440000000006</v>
      </c>
      <c r="AA45" s="72"/>
      <c r="AB45" s="72"/>
      <c r="AC45" s="72"/>
      <c r="AD45" s="72"/>
      <c r="AE45" s="72"/>
      <c r="AF45" s="92">
        <f t="shared" si="13"/>
        <v>376.10440000000006</v>
      </c>
      <c r="AG45" s="96">
        <f>(AH45*0.05)+AH45</f>
        <v>4300.69038</v>
      </c>
      <c r="AH45" s="147">
        <f t="shared" si="15"/>
        <v>4095.8955999999998</v>
      </c>
      <c r="AI45" s="125">
        <f t="shared" si="16"/>
        <v>8944</v>
      </c>
      <c r="AJ45" s="140">
        <f t="shared" si="17"/>
        <v>4606.16</v>
      </c>
      <c r="AK45" s="80">
        <v>4472</v>
      </c>
      <c r="AL45" s="99">
        <v>3900</v>
      </c>
      <c r="AM45" s="93">
        <v>4095.1843800000001</v>
      </c>
    </row>
    <row r="46" spans="1:41" ht="22.5" x14ac:dyDescent="0.2">
      <c r="A46" s="64">
        <v>42</v>
      </c>
      <c r="B46" s="106" t="s">
        <v>217</v>
      </c>
      <c r="C46" s="60" t="s">
        <v>157</v>
      </c>
      <c r="D46" s="52">
        <f t="shared" si="9"/>
        <v>290.2</v>
      </c>
      <c r="E46" s="57">
        <f t="shared" si="10"/>
        <v>4353</v>
      </c>
      <c r="F46" s="52">
        <v>0</v>
      </c>
      <c r="G46" s="52">
        <v>0</v>
      </c>
      <c r="H46" s="52">
        <v>0</v>
      </c>
      <c r="I46" s="52">
        <v>0</v>
      </c>
      <c r="J46" s="52"/>
      <c r="K46" s="52">
        <v>0</v>
      </c>
      <c r="L46" s="46">
        <f t="shared" si="0"/>
        <v>4353</v>
      </c>
      <c r="M46" s="53"/>
      <c r="N46" s="45">
        <f t="shared" si="19"/>
        <v>0</v>
      </c>
      <c r="O46" s="45">
        <f t="shared" si="2"/>
        <v>4353</v>
      </c>
      <c r="P46" s="77">
        <v>4257.91</v>
      </c>
      <c r="Q46" s="45">
        <f t="shared" si="3"/>
        <v>95.090000000000146</v>
      </c>
      <c r="R46" s="77">
        <v>0.16</v>
      </c>
      <c r="S46" s="45">
        <f t="shared" si="4"/>
        <v>15.214400000000024</v>
      </c>
      <c r="T46" s="77">
        <v>341.85</v>
      </c>
      <c r="U46" s="45">
        <f t="shared" si="5"/>
        <v>357.06440000000003</v>
      </c>
      <c r="V46" s="45">
        <f t="shared" si="20"/>
        <v>0</v>
      </c>
      <c r="W46" s="45">
        <f t="shared" si="7"/>
        <v>357.06440000000003</v>
      </c>
      <c r="X46" s="51"/>
      <c r="Y46" s="74">
        <f t="shared" si="11"/>
        <v>0</v>
      </c>
      <c r="Z46" s="72">
        <f t="shared" si="12"/>
        <v>357.06440000000003</v>
      </c>
      <c r="AA46" s="72"/>
      <c r="AB46" s="72"/>
      <c r="AC46" s="72"/>
      <c r="AD46" s="72"/>
      <c r="AE46" s="72"/>
      <c r="AF46" s="92">
        <f t="shared" si="13"/>
        <v>357.06440000000003</v>
      </c>
      <c r="AG46" s="96"/>
      <c r="AH46" s="147">
        <f t="shared" si="15"/>
        <v>3995.9355999999998</v>
      </c>
      <c r="AI46" s="125">
        <f t="shared" si="16"/>
        <v>8706</v>
      </c>
      <c r="AJ46" s="140">
        <f t="shared" si="17"/>
        <v>4483.59</v>
      </c>
      <c r="AK46" s="80">
        <v>4353</v>
      </c>
      <c r="AL46" s="99">
        <v>3500</v>
      </c>
      <c r="AM46" s="93">
        <v>4000</v>
      </c>
    </row>
    <row r="47" spans="1:41" x14ac:dyDescent="0.2">
      <c r="A47" s="64">
        <v>43</v>
      </c>
      <c r="B47" s="106" t="s">
        <v>84</v>
      </c>
      <c r="C47" s="58" t="s">
        <v>85</v>
      </c>
      <c r="D47" s="52">
        <f t="shared" si="9"/>
        <v>343.46666666666664</v>
      </c>
      <c r="E47" s="57">
        <f t="shared" si="10"/>
        <v>5152</v>
      </c>
      <c r="F47" s="52">
        <v>0</v>
      </c>
      <c r="G47" s="52">
        <v>0</v>
      </c>
      <c r="H47" s="52">
        <v>0</v>
      </c>
      <c r="I47" s="52">
        <v>0</v>
      </c>
      <c r="J47" s="52"/>
      <c r="K47" s="52">
        <v>0</v>
      </c>
      <c r="L47" s="46">
        <f t="shared" si="0"/>
        <v>5152</v>
      </c>
      <c r="M47" s="51"/>
      <c r="N47" s="45">
        <f t="shared" si="19"/>
        <v>0</v>
      </c>
      <c r="O47" s="45">
        <f t="shared" si="2"/>
        <v>5152</v>
      </c>
      <c r="P47" s="77">
        <v>4949.5600000000004</v>
      </c>
      <c r="Q47" s="45">
        <f t="shared" si="3"/>
        <v>202.4399999999996</v>
      </c>
      <c r="R47" s="77">
        <v>0.1792</v>
      </c>
      <c r="S47" s="45">
        <f t="shared" si="4"/>
        <v>36.277247999999929</v>
      </c>
      <c r="T47" s="77">
        <v>452.55</v>
      </c>
      <c r="U47" s="45">
        <f t="shared" si="5"/>
        <v>488.82724799999994</v>
      </c>
      <c r="V47" s="45">
        <f t="shared" si="20"/>
        <v>0</v>
      </c>
      <c r="W47" s="45">
        <f t="shared" si="7"/>
        <v>488.82724799999994</v>
      </c>
      <c r="X47" s="51"/>
      <c r="Y47" s="74">
        <f t="shared" si="11"/>
        <v>0</v>
      </c>
      <c r="Z47" s="72">
        <f t="shared" si="12"/>
        <v>488.82724799999994</v>
      </c>
      <c r="AA47" s="72"/>
      <c r="AB47" s="72"/>
      <c r="AC47" s="72"/>
      <c r="AD47" s="72"/>
      <c r="AE47" s="72"/>
      <c r="AF47" s="92">
        <f t="shared" si="13"/>
        <v>488.82724799999994</v>
      </c>
      <c r="AG47" s="96">
        <f t="shared" ref="AG47:AG64" si="21">(AH47*0.05)+AH47</f>
        <v>4896.3313896</v>
      </c>
      <c r="AH47" s="147">
        <f t="shared" si="15"/>
        <v>4663.1727520000004</v>
      </c>
      <c r="AI47" s="125">
        <f t="shared" si="16"/>
        <v>10304</v>
      </c>
      <c r="AJ47" s="140">
        <f t="shared" si="17"/>
        <v>5306.56</v>
      </c>
      <c r="AK47" s="80">
        <v>5152</v>
      </c>
      <c r="AL47" s="99">
        <v>4445</v>
      </c>
      <c r="AM47" s="93">
        <v>4667.6023800000003</v>
      </c>
    </row>
    <row r="48" spans="1:41" s="318" customFormat="1" ht="33.75" x14ac:dyDescent="0.2">
      <c r="A48" s="299">
        <v>44</v>
      </c>
      <c r="B48" s="300" t="s">
        <v>179</v>
      </c>
      <c r="C48" s="319" t="s">
        <v>178</v>
      </c>
      <c r="D48" s="302">
        <f t="shared" si="9"/>
        <v>293.66666666666669</v>
      </c>
      <c r="E48" s="303">
        <f t="shared" si="10"/>
        <v>4405</v>
      </c>
      <c r="F48" s="302">
        <v>0</v>
      </c>
      <c r="G48" s="302">
        <v>0</v>
      </c>
      <c r="H48" s="302">
        <v>0</v>
      </c>
      <c r="I48" s="302">
        <v>0</v>
      </c>
      <c r="J48" s="302"/>
      <c r="K48" s="302">
        <v>0</v>
      </c>
      <c r="L48" s="304">
        <f t="shared" si="0"/>
        <v>4405</v>
      </c>
      <c r="M48" s="305"/>
      <c r="N48" s="306">
        <f t="shared" si="19"/>
        <v>0</v>
      </c>
      <c r="O48" s="306">
        <f t="shared" si="2"/>
        <v>4405</v>
      </c>
      <c r="P48" s="306">
        <v>4257.91</v>
      </c>
      <c r="Q48" s="306">
        <f t="shared" si="3"/>
        <v>147.09000000000015</v>
      </c>
      <c r="R48" s="306">
        <v>0.16</v>
      </c>
      <c r="S48" s="306">
        <f t="shared" si="4"/>
        <v>23.534400000000023</v>
      </c>
      <c r="T48" s="306">
        <v>341.85</v>
      </c>
      <c r="U48" s="306">
        <f t="shared" si="5"/>
        <v>365.38440000000003</v>
      </c>
      <c r="V48" s="306">
        <f t="shared" si="20"/>
        <v>0</v>
      </c>
      <c r="W48" s="306">
        <f t="shared" si="7"/>
        <v>365.38440000000003</v>
      </c>
      <c r="X48" s="307"/>
      <c r="Y48" s="308">
        <f t="shared" si="11"/>
        <v>0</v>
      </c>
      <c r="Z48" s="309">
        <f t="shared" si="12"/>
        <v>365.38440000000003</v>
      </c>
      <c r="AA48" s="309"/>
      <c r="AB48" s="309"/>
      <c r="AC48" s="309"/>
      <c r="AD48" s="309"/>
      <c r="AE48" s="309"/>
      <c r="AF48" s="310">
        <f t="shared" si="13"/>
        <v>365.38440000000003</v>
      </c>
      <c r="AG48" s="311">
        <f t="shared" si="21"/>
        <v>4241.59638</v>
      </c>
      <c r="AH48" s="312">
        <f t="shared" si="15"/>
        <v>4039.6156000000001</v>
      </c>
      <c r="AI48" s="313">
        <f t="shared" si="16"/>
        <v>8810</v>
      </c>
      <c r="AJ48" s="314">
        <f t="shared" si="17"/>
        <v>4537.1499999999996</v>
      </c>
      <c r="AK48" s="315">
        <v>4405</v>
      </c>
      <c r="AL48" s="320">
        <v>3850</v>
      </c>
      <c r="AM48" s="317">
        <v>4047.8383343999999</v>
      </c>
    </row>
    <row r="49" spans="1:41" x14ac:dyDescent="0.2">
      <c r="A49" s="64">
        <v>45</v>
      </c>
      <c r="B49" s="106" t="s">
        <v>99</v>
      </c>
      <c r="C49" s="60" t="s">
        <v>100</v>
      </c>
      <c r="D49" s="52">
        <f t="shared" si="9"/>
        <v>285</v>
      </c>
      <c r="E49" s="57">
        <f t="shared" si="10"/>
        <v>4275</v>
      </c>
      <c r="F49" s="52">
        <v>0</v>
      </c>
      <c r="G49" s="52">
        <v>0</v>
      </c>
      <c r="H49" s="52">
        <v>0</v>
      </c>
      <c r="I49" s="52">
        <v>0</v>
      </c>
      <c r="J49" s="52"/>
      <c r="K49" s="52">
        <v>0</v>
      </c>
      <c r="L49" s="46">
        <f t="shared" si="0"/>
        <v>4275</v>
      </c>
      <c r="M49" s="53"/>
      <c r="N49" s="45">
        <f t="shared" si="19"/>
        <v>0</v>
      </c>
      <c r="O49" s="45">
        <f t="shared" si="2"/>
        <v>4275</v>
      </c>
      <c r="P49" s="77">
        <v>4257.91</v>
      </c>
      <c r="Q49" s="45">
        <f t="shared" si="3"/>
        <v>17.090000000000146</v>
      </c>
      <c r="R49" s="77">
        <v>0.16</v>
      </c>
      <c r="S49" s="45">
        <f t="shared" si="4"/>
        <v>2.7344000000000235</v>
      </c>
      <c r="T49" s="77">
        <v>341.85</v>
      </c>
      <c r="U49" s="45">
        <f t="shared" si="5"/>
        <v>344.58440000000007</v>
      </c>
      <c r="V49" s="45">
        <f t="shared" si="20"/>
        <v>0</v>
      </c>
      <c r="W49" s="45">
        <f t="shared" si="7"/>
        <v>344.58440000000007</v>
      </c>
      <c r="X49" s="51"/>
      <c r="Y49" s="74">
        <f t="shared" si="11"/>
        <v>0</v>
      </c>
      <c r="Z49" s="72">
        <f t="shared" si="12"/>
        <v>344.58440000000007</v>
      </c>
      <c r="AA49" s="72"/>
      <c r="AB49" s="72"/>
      <c r="AC49" s="72"/>
      <c r="AD49" s="72"/>
      <c r="AE49" s="72"/>
      <c r="AF49" s="92">
        <f t="shared" si="13"/>
        <v>344.58440000000007</v>
      </c>
      <c r="AG49" s="96">
        <f t="shared" si="21"/>
        <v>4126.9363800000001</v>
      </c>
      <c r="AH49" s="147">
        <f t="shared" si="15"/>
        <v>3930.4155999999998</v>
      </c>
      <c r="AI49" s="125">
        <f t="shared" si="16"/>
        <v>8550</v>
      </c>
      <c r="AJ49" s="140">
        <f t="shared" si="17"/>
        <v>4403.25</v>
      </c>
      <c r="AK49" s="80">
        <v>4275</v>
      </c>
      <c r="AL49" s="99">
        <v>3345</v>
      </c>
      <c r="AM49" s="93">
        <v>3745</v>
      </c>
      <c r="AN49">
        <f>3745*0.05</f>
        <v>187.25</v>
      </c>
      <c r="AO49">
        <f>AN49+3745</f>
        <v>3932.25</v>
      </c>
    </row>
    <row r="50" spans="1:41" s="274" customFormat="1" ht="33.75" x14ac:dyDescent="0.2">
      <c r="A50" s="257">
        <v>46</v>
      </c>
      <c r="B50" s="276" t="s">
        <v>141</v>
      </c>
      <c r="C50" s="277" t="s">
        <v>142</v>
      </c>
      <c r="D50" s="260">
        <f t="shared" si="9"/>
        <v>338.13333333333333</v>
      </c>
      <c r="E50" s="261">
        <f t="shared" si="10"/>
        <v>5072</v>
      </c>
      <c r="F50" s="260">
        <v>0</v>
      </c>
      <c r="G50" s="260">
        <v>0</v>
      </c>
      <c r="H50" s="260">
        <v>0</v>
      </c>
      <c r="I50" s="260">
        <v>0</v>
      </c>
      <c r="J50" s="260"/>
      <c r="K50" s="260">
        <v>0</v>
      </c>
      <c r="L50" s="262">
        <f t="shared" si="0"/>
        <v>5072</v>
      </c>
      <c r="M50" s="263"/>
      <c r="N50" s="264">
        <f t="shared" si="19"/>
        <v>0</v>
      </c>
      <c r="O50" s="264">
        <f t="shared" si="2"/>
        <v>5072</v>
      </c>
      <c r="P50" s="264">
        <v>4949.5600000000004</v>
      </c>
      <c r="Q50" s="264">
        <f t="shared" si="3"/>
        <v>122.4399999999996</v>
      </c>
      <c r="R50" s="264">
        <v>0.1792</v>
      </c>
      <c r="S50" s="264">
        <f t="shared" si="4"/>
        <v>21.941247999999927</v>
      </c>
      <c r="T50" s="264">
        <v>452.55</v>
      </c>
      <c r="U50" s="264">
        <f t="shared" si="5"/>
        <v>474.49124799999993</v>
      </c>
      <c r="V50" s="264">
        <f t="shared" si="20"/>
        <v>0</v>
      </c>
      <c r="W50" s="264">
        <f t="shared" si="7"/>
        <v>474.49124799999993</v>
      </c>
      <c r="X50" s="265"/>
      <c r="Y50" s="266">
        <f t="shared" si="11"/>
        <v>0</v>
      </c>
      <c r="Z50" s="267">
        <f t="shared" si="12"/>
        <v>474.49124799999993</v>
      </c>
      <c r="AA50" s="267"/>
      <c r="AB50" s="267"/>
      <c r="AC50" s="267"/>
      <c r="AD50" s="267"/>
      <c r="AE50" s="267"/>
      <c r="AF50" s="268">
        <f t="shared" si="13"/>
        <v>474.49124799999993</v>
      </c>
      <c r="AG50" s="269">
        <f t="shared" si="21"/>
        <v>4827.3841895999994</v>
      </c>
      <c r="AH50" s="98">
        <f t="shared" si="15"/>
        <v>4597.5087519999997</v>
      </c>
      <c r="AI50" s="270">
        <f t="shared" si="16"/>
        <v>10144</v>
      </c>
      <c r="AJ50" s="271">
        <f t="shared" si="17"/>
        <v>5224.16</v>
      </c>
      <c r="AK50" s="272">
        <v>5072</v>
      </c>
      <c r="AL50" s="278"/>
      <c r="AM50" s="93">
        <v>4599.2473799999998</v>
      </c>
    </row>
    <row r="51" spans="1:41" x14ac:dyDescent="0.2">
      <c r="A51" s="48">
        <v>47</v>
      </c>
      <c r="B51" s="106" t="s">
        <v>106</v>
      </c>
      <c r="C51" s="58" t="s">
        <v>107</v>
      </c>
      <c r="D51" s="52">
        <f t="shared" si="9"/>
        <v>279.53333333333336</v>
      </c>
      <c r="E51" s="57">
        <f t="shared" si="10"/>
        <v>4193</v>
      </c>
      <c r="F51" s="52">
        <v>0</v>
      </c>
      <c r="G51" s="52">
        <v>0</v>
      </c>
      <c r="H51" s="52">
        <v>0</v>
      </c>
      <c r="I51" s="52">
        <v>0</v>
      </c>
      <c r="J51" s="52"/>
      <c r="K51" s="52">
        <v>0</v>
      </c>
      <c r="L51" s="46">
        <f t="shared" si="0"/>
        <v>4193</v>
      </c>
      <c r="M51" s="53"/>
      <c r="N51" s="45">
        <f t="shared" si="19"/>
        <v>0</v>
      </c>
      <c r="O51" s="45">
        <f t="shared" si="2"/>
        <v>4193</v>
      </c>
      <c r="P51" s="77">
        <v>2422.81</v>
      </c>
      <c r="Q51" s="45">
        <f t="shared" si="3"/>
        <v>1770.19</v>
      </c>
      <c r="R51" s="77">
        <v>0.10879999999999999</v>
      </c>
      <c r="S51" s="45">
        <f t="shared" si="4"/>
        <v>192.59667199999998</v>
      </c>
      <c r="T51" s="77">
        <v>142.19999999999999</v>
      </c>
      <c r="U51" s="45">
        <f t="shared" si="5"/>
        <v>334.79667199999994</v>
      </c>
      <c r="V51" s="45">
        <f t="shared" si="20"/>
        <v>0</v>
      </c>
      <c r="W51" s="45">
        <f t="shared" si="7"/>
        <v>334.79667199999994</v>
      </c>
      <c r="X51" s="51"/>
      <c r="Y51" s="74">
        <f t="shared" si="11"/>
        <v>0</v>
      </c>
      <c r="Z51" s="72">
        <f t="shared" si="12"/>
        <v>334.79667199999994</v>
      </c>
      <c r="AA51" s="72"/>
      <c r="AB51" s="72"/>
      <c r="AC51" s="72"/>
      <c r="AD51" s="72"/>
      <c r="AE51" s="72"/>
      <c r="AF51" s="92">
        <f t="shared" si="13"/>
        <v>334.79667199999994</v>
      </c>
      <c r="AG51" s="96">
        <f t="shared" si="21"/>
        <v>4051.1134944</v>
      </c>
      <c r="AH51" s="147">
        <f t="shared" si="15"/>
        <v>3858.2033280000001</v>
      </c>
      <c r="AI51" s="125">
        <f t="shared" si="16"/>
        <v>8386</v>
      </c>
      <c r="AJ51" s="140">
        <f t="shared" si="17"/>
        <v>4318.79</v>
      </c>
      <c r="AK51" s="80">
        <v>4193</v>
      </c>
      <c r="AL51" s="99">
        <v>3675</v>
      </c>
      <c r="AM51" s="93">
        <v>3858.8148144000002</v>
      </c>
    </row>
    <row r="52" spans="1:41" s="274" customFormat="1" x14ac:dyDescent="0.2">
      <c r="A52" s="257">
        <v>48</v>
      </c>
      <c r="B52" s="258" t="s">
        <v>133</v>
      </c>
      <c r="C52" s="259" t="s">
        <v>134</v>
      </c>
      <c r="D52" s="260">
        <f t="shared" si="9"/>
        <v>271.33333333333331</v>
      </c>
      <c r="E52" s="261">
        <f t="shared" si="10"/>
        <v>4070</v>
      </c>
      <c r="F52" s="260">
        <v>0</v>
      </c>
      <c r="G52" s="260">
        <v>0</v>
      </c>
      <c r="H52" s="260">
        <v>0</v>
      </c>
      <c r="I52" s="260">
        <v>0</v>
      </c>
      <c r="J52" s="260"/>
      <c r="K52" s="260">
        <v>0</v>
      </c>
      <c r="L52" s="262">
        <f t="shared" si="0"/>
        <v>4070</v>
      </c>
      <c r="M52" s="263"/>
      <c r="N52" s="264">
        <f t="shared" si="19"/>
        <v>0</v>
      </c>
      <c r="O52" s="264">
        <f t="shared" si="2"/>
        <v>4070</v>
      </c>
      <c r="P52" s="264">
        <v>2422.81</v>
      </c>
      <c r="Q52" s="264">
        <f t="shared" si="3"/>
        <v>1647.19</v>
      </c>
      <c r="R52" s="264">
        <v>0.10879999999999999</v>
      </c>
      <c r="S52" s="264">
        <f t="shared" si="4"/>
        <v>179.21427199999999</v>
      </c>
      <c r="T52" s="264">
        <v>142.19999999999999</v>
      </c>
      <c r="U52" s="264">
        <f t="shared" si="5"/>
        <v>321.41427199999998</v>
      </c>
      <c r="V52" s="264">
        <f t="shared" si="20"/>
        <v>0</v>
      </c>
      <c r="W52" s="264">
        <f t="shared" si="7"/>
        <v>321.41427199999998</v>
      </c>
      <c r="X52" s="265"/>
      <c r="Y52" s="266">
        <f t="shared" si="11"/>
        <v>0</v>
      </c>
      <c r="Z52" s="267">
        <f t="shared" si="12"/>
        <v>321.41427199999998</v>
      </c>
      <c r="AA52" s="267"/>
      <c r="AB52" s="267"/>
      <c r="AC52" s="267"/>
      <c r="AD52" s="267"/>
      <c r="AE52" s="267"/>
      <c r="AF52" s="268">
        <f t="shared" si="13"/>
        <v>321.41427199999998</v>
      </c>
      <c r="AG52" s="269">
        <f t="shared" si="21"/>
        <v>3936.0150143999999</v>
      </c>
      <c r="AH52" s="98">
        <f t="shared" si="15"/>
        <v>3748.585728</v>
      </c>
      <c r="AI52" s="270">
        <f t="shared" si="16"/>
        <v>8140</v>
      </c>
      <c r="AJ52" s="271">
        <f t="shared" si="17"/>
        <v>4192.1000000000004</v>
      </c>
      <c r="AK52" s="272">
        <v>4070</v>
      </c>
      <c r="AL52" s="273">
        <v>3570</v>
      </c>
      <c r="AM52" s="93">
        <v>3748.8630144000003</v>
      </c>
    </row>
    <row r="53" spans="1:41" x14ac:dyDescent="0.2">
      <c r="A53" s="64">
        <v>49</v>
      </c>
      <c r="B53" s="106" t="s">
        <v>136</v>
      </c>
      <c r="C53" s="58" t="s">
        <v>134</v>
      </c>
      <c r="D53" s="52">
        <f t="shared" si="9"/>
        <v>271.33333333333331</v>
      </c>
      <c r="E53" s="57">
        <f t="shared" si="10"/>
        <v>4070</v>
      </c>
      <c r="F53" s="52">
        <v>0</v>
      </c>
      <c r="G53" s="52">
        <v>0</v>
      </c>
      <c r="H53" s="52">
        <v>0</v>
      </c>
      <c r="I53" s="52">
        <v>0</v>
      </c>
      <c r="J53" s="52"/>
      <c r="K53" s="52">
        <v>0</v>
      </c>
      <c r="L53" s="46">
        <f t="shared" si="0"/>
        <v>4070</v>
      </c>
      <c r="M53" s="53"/>
      <c r="N53" s="45">
        <f t="shared" si="19"/>
        <v>0</v>
      </c>
      <c r="O53" s="45">
        <f t="shared" si="2"/>
        <v>4070</v>
      </c>
      <c r="P53" s="77">
        <v>2422.81</v>
      </c>
      <c r="Q53" s="45">
        <f t="shared" si="3"/>
        <v>1647.19</v>
      </c>
      <c r="R53" s="77">
        <v>0.10879999999999999</v>
      </c>
      <c r="S53" s="45">
        <f t="shared" si="4"/>
        <v>179.21427199999999</v>
      </c>
      <c r="T53" s="77">
        <v>142.19999999999999</v>
      </c>
      <c r="U53" s="45">
        <f t="shared" si="5"/>
        <v>321.41427199999998</v>
      </c>
      <c r="V53" s="45">
        <f t="shared" si="20"/>
        <v>0</v>
      </c>
      <c r="W53" s="45">
        <f t="shared" si="7"/>
        <v>321.41427199999998</v>
      </c>
      <c r="X53" s="51"/>
      <c r="Y53" s="74">
        <f t="shared" si="11"/>
        <v>0</v>
      </c>
      <c r="Z53" s="72">
        <f t="shared" si="12"/>
        <v>321.41427199999998</v>
      </c>
      <c r="AA53" s="72"/>
      <c r="AB53" s="72"/>
      <c r="AC53" s="72"/>
      <c r="AD53" s="72"/>
      <c r="AE53" s="72"/>
      <c r="AF53" s="92">
        <f t="shared" si="13"/>
        <v>321.41427199999998</v>
      </c>
      <c r="AG53" s="96">
        <f t="shared" si="21"/>
        <v>3936.0150143999999</v>
      </c>
      <c r="AH53" s="147">
        <f t="shared" si="15"/>
        <v>3748.585728</v>
      </c>
      <c r="AI53" s="125">
        <f t="shared" si="16"/>
        <v>8140</v>
      </c>
      <c r="AJ53" s="140">
        <f t="shared" si="17"/>
        <v>4192.1000000000004</v>
      </c>
      <c r="AK53" s="80">
        <v>4070</v>
      </c>
      <c r="AM53" s="93">
        <v>3748.8630144000003</v>
      </c>
    </row>
    <row r="54" spans="1:41" x14ac:dyDescent="0.2">
      <c r="A54" s="48">
        <v>50</v>
      </c>
      <c r="B54" s="106" t="s">
        <v>137</v>
      </c>
      <c r="C54" s="58" t="s">
        <v>134</v>
      </c>
      <c r="D54" s="52">
        <f t="shared" si="9"/>
        <v>271.33333333333331</v>
      </c>
      <c r="E54" s="57">
        <f t="shared" si="10"/>
        <v>4070</v>
      </c>
      <c r="F54" s="52">
        <v>0</v>
      </c>
      <c r="G54" s="52">
        <v>0</v>
      </c>
      <c r="H54" s="52">
        <v>0</v>
      </c>
      <c r="I54" s="52">
        <v>0</v>
      </c>
      <c r="J54" s="52"/>
      <c r="K54" s="52">
        <v>0</v>
      </c>
      <c r="L54" s="46">
        <f t="shared" si="0"/>
        <v>4070</v>
      </c>
      <c r="M54" s="53"/>
      <c r="N54" s="45">
        <f t="shared" si="19"/>
        <v>0</v>
      </c>
      <c r="O54" s="45">
        <f t="shared" si="2"/>
        <v>4070</v>
      </c>
      <c r="P54" s="77">
        <v>2422.81</v>
      </c>
      <c r="Q54" s="45">
        <f t="shared" si="3"/>
        <v>1647.19</v>
      </c>
      <c r="R54" s="77">
        <v>0.10879999999999999</v>
      </c>
      <c r="S54" s="45">
        <f t="shared" si="4"/>
        <v>179.21427199999999</v>
      </c>
      <c r="T54" s="77">
        <v>142.19999999999999</v>
      </c>
      <c r="U54" s="45">
        <f t="shared" si="5"/>
        <v>321.41427199999998</v>
      </c>
      <c r="V54" s="45">
        <f t="shared" si="20"/>
        <v>0</v>
      </c>
      <c r="W54" s="45">
        <f t="shared" si="7"/>
        <v>321.41427199999998</v>
      </c>
      <c r="X54" s="51"/>
      <c r="Y54" s="74">
        <f t="shared" si="11"/>
        <v>0</v>
      </c>
      <c r="Z54" s="72">
        <f t="shared" si="12"/>
        <v>321.41427199999998</v>
      </c>
      <c r="AA54" s="72"/>
      <c r="AB54" s="72"/>
      <c r="AC54" s="72"/>
      <c r="AD54" s="72"/>
      <c r="AE54" s="72"/>
      <c r="AF54" s="92">
        <f t="shared" si="13"/>
        <v>321.41427199999998</v>
      </c>
      <c r="AG54" s="96">
        <f t="shared" si="21"/>
        <v>3936.0150143999999</v>
      </c>
      <c r="AH54" s="147">
        <f t="shared" si="15"/>
        <v>3748.585728</v>
      </c>
      <c r="AI54" s="125">
        <f t="shared" si="16"/>
        <v>8140</v>
      </c>
      <c r="AJ54" s="140">
        <f t="shared" si="17"/>
        <v>4192.1000000000004</v>
      </c>
      <c r="AK54" s="80">
        <v>4070</v>
      </c>
      <c r="AM54" s="93">
        <v>3748.8630144000003</v>
      </c>
    </row>
    <row r="55" spans="1:41" x14ac:dyDescent="0.2">
      <c r="A55" s="64">
        <v>51</v>
      </c>
      <c r="B55" s="106" t="s">
        <v>138</v>
      </c>
      <c r="C55" s="58" t="s">
        <v>134</v>
      </c>
      <c r="D55" s="52">
        <f t="shared" si="9"/>
        <v>271.33333333333331</v>
      </c>
      <c r="E55" s="57">
        <f t="shared" si="10"/>
        <v>4070</v>
      </c>
      <c r="F55" s="52">
        <v>0</v>
      </c>
      <c r="G55" s="52">
        <v>0</v>
      </c>
      <c r="H55" s="52">
        <v>0</v>
      </c>
      <c r="I55" s="52">
        <v>0</v>
      </c>
      <c r="J55" s="52"/>
      <c r="K55" s="52">
        <v>0</v>
      </c>
      <c r="L55" s="46">
        <f t="shared" si="0"/>
        <v>4070</v>
      </c>
      <c r="M55" s="53"/>
      <c r="N55" s="45">
        <f t="shared" si="19"/>
        <v>0</v>
      </c>
      <c r="O55" s="45">
        <f t="shared" si="2"/>
        <v>4070</v>
      </c>
      <c r="P55" s="77">
        <v>2422.81</v>
      </c>
      <c r="Q55" s="45">
        <f t="shared" si="3"/>
        <v>1647.19</v>
      </c>
      <c r="R55" s="77">
        <v>0.10879999999999999</v>
      </c>
      <c r="S55" s="45">
        <f t="shared" si="4"/>
        <v>179.21427199999999</v>
      </c>
      <c r="T55" s="77">
        <v>142.19999999999999</v>
      </c>
      <c r="U55" s="45">
        <f t="shared" si="5"/>
        <v>321.41427199999998</v>
      </c>
      <c r="V55" s="45">
        <f t="shared" si="20"/>
        <v>0</v>
      </c>
      <c r="W55" s="45">
        <f t="shared" si="7"/>
        <v>321.41427199999998</v>
      </c>
      <c r="X55" s="51"/>
      <c r="Y55" s="74">
        <f t="shared" si="11"/>
        <v>0</v>
      </c>
      <c r="Z55" s="72">
        <f t="shared" si="12"/>
        <v>321.41427199999998</v>
      </c>
      <c r="AA55" s="72"/>
      <c r="AB55" s="72"/>
      <c r="AC55" s="72"/>
      <c r="AD55" s="72"/>
      <c r="AE55" s="72"/>
      <c r="AF55" s="92">
        <f t="shared" si="13"/>
        <v>321.41427199999998</v>
      </c>
      <c r="AG55" s="96">
        <f t="shared" si="21"/>
        <v>3936.0150143999999</v>
      </c>
      <c r="AH55" s="147">
        <f t="shared" si="15"/>
        <v>3748.585728</v>
      </c>
      <c r="AI55" s="125">
        <f t="shared" si="16"/>
        <v>8140</v>
      </c>
      <c r="AJ55" s="140">
        <f t="shared" si="17"/>
        <v>4192.1000000000004</v>
      </c>
      <c r="AK55" s="80">
        <v>4070</v>
      </c>
      <c r="AM55" s="93">
        <v>3748.8630144000003</v>
      </c>
    </row>
    <row r="56" spans="1:41" x14ac:dyDescent="0.2">
      <c r="A56" s="64">
        <v>52</v>
      </c>
      <c r="B56" s="106" t="s">
        <v>139</v>
      </c>
      <c r="C56" s="58" t="s">
        <v>134</v>
      </c>
      <c r="D56" s="52">
        <f t="shared" si="9"/>
        <v>271.33333333333331</v>
      </c>
      <c r="E56" s="57">
        <f t="shared" si="10"/>
        <v>4070</v>
      </c>
      <c r="F56" s="52">
        <v>0</v>
      </c>
      <c r="G56" s="52">
        <v>0</v>
      </c>
      <c r="H56" s="52">
        <v>0</v>
      </c>
      <c r="I56" s="52">
        <v>0</v>
      </c>
      <c r="J56" s="52"/>
      <c r="K56" s="52">
        <v>0</v>
      </c>
      <c r="L56" s="46">
        <f t="shared" si="0"/>
        <v>4070</v>
      </c>
      <c r="M56" s="53"/>
      <c r="N56" s="45">
        <f t="shared" si="19"/>
        <v>0</v>
      </c>
      <c r="O56" s="45">
        <f t="shared" si="2"/>
        <v>4070</v>
      </c>
      <c r="P56" s="77">
        <v>2422.81</v>
      </c>
      <c r="Q56" s="45">
        <f t="shared" si="3"/>
        <v>1647.19</v>
      </c>
      <c r="R56" s="77">
        <v>0.10879999999999999</v>
      </c>
      <c r="S56" s="45">
        <f t="shared" si="4"/>
        <v>179.21427199999999</v>
      </c>
      <c r="T56" s="77">
        <v>142.19999999999999</v>
      </c>
      <c r="U56" s="45">
        <f t="shared" si="5"/>
        <v>321.41427199999998</v>
      </c>
      <c r="V56" s="45">
        <f t="shared" si="20"/>
        <v>0</v>
      </c>
      <c r="W56" s="45">
        <f t="shared" si="7"/>
        <v>321.41427199999998</v>
      </c>
      <c r="X56" s="51"/>
      <c r="Y56" s="74">
        <f t="shared" si="11"/>
        <v>0</v>
      </c>
      <c r="Z56" s="72">
        <f t="shared" si="12"/>
        <v>321.41427199999998</v>
      </c>
      <c r="AA56" s="72"/>
      <c r="AB56" s="72"/>
      <c r="AC56" s="72"/>
      <c r="AD56" s="72"/>
      <c r="AE56" s="72"/>
      <c r="AF56" s="92">
        <f t="shared" si="13"/>
        <v>321.41427199999998</v>
      </c>
      <c r="AG56" s="96">
        <f t="shared" si="21"/>
        <v>3936.0150143999999</v>
      </c>
      <c r="AH56" s="147">
        <f t="shared" si="15"/>
        <v>3748.585728</v>
      </c>
      <c r="AI56" s="125">
        <f t="shared" si="16"/>
        <v>8140</v>
      </c>
      <c r="AJ56" s="140">
        <f t="shared" si="17"/>
        <v>4192.1000000000004</v>
      </c>
      <c r="AK56" s="80">
        <v>4070</v>
      </c>
      <c r="AM56" s="93">
        <v>3748.8630144000003</v>
      </c>
    </row>
    <row r="57" spans="1:41" x14ac:dyDescent="0.2">
      <c r="A57" s="48">
        <v>53</v>
      </c>
      <c r="B57" s="106" t="s">
        <v>187</v>
      </c>
      <c r="C57" s="58" t="s">
        <v>134</v>
      </c>
      <c r="D57" s="52">
        <f t="shared" si="9"/>
        <v>271.33333333333331</v>
      </c>
      <c r="E57" s="57">
        <f t="shared" si="10"/>
        <v>4070</v>
      </c>
      <c r="F57" s="52">
        <v>0</v>
      </c>
      <c r="G57" s="52">
        <v>0</v>
      </c>
      <c r="H57" s="52">
        <v>0</v>
      </c>
      <c r="I57" s="52">
        <v>0</v>
      </c>
      <c r="J57" s="52"/>
      <c r="K57" s="52">
        <v>0</v>
      </c>
      <c r="L57" s="46">
        <f t="shared" si="0"/>
        <v>4070</v>
      </c>
      <c r="M57" s="53"/>
      <c r="N57" s="45">
        <f t="shared" si="19"/>
        <v>0</v>
      </c>
      <c r="O57" s="45">
        <f t="shared" si="2"/>
        <v>4070</v>
      </c>
      <c r="P57" s="77">
        <v>2422.81</v>
      </c>
      <c r="Q57" s="45">
        <f t="shared" si="3"/>
        <v>1647.19</v>
      </c>
      <c r="R57" s="77">
        <v>0.10879999999999999</v>
      </c>
      <c r="S57" s="45">
        <f t="shared" si="4"/>
        <v>179.21427199999999</v>
      </c>
      <c r="T57" s="77">
        <v>142.19999999999999</v>
      </c>
      <c r="U57" s="45">
        <f t="shared" si="5"/>
        <v>321.41427199999998</v>
      </c>
      <c r="V57" s="45">
        <f t="shared" si="20"/>
        <v>0</v>
      </c>
      <c r="W57" s="45">
        <f t="shared" si="7"/>
        <v>321.41427199999998</v>
      </c>
      <c r="X57" s="51"/>
      <c r="Y57" s="74">
        <f t="shared" si="11"/>
        <v>0</v>
      </c>
      <c r="Z57" s="72">
        <f t="shared" si="12"/>
        <v>321.41427199999998</v>
      </c>
      <c r="AA57" s="72"/>
      <c r="AB57" s="72"/>
      <c r="AC57" s="72"/>
      <c r="AD57" s="72"/>
      <c r="AE57" s="72"/>
      <c r="AF57" s="92">
        <f t="shared" si="13"/>
        <v>321.41427199999998</v>
      </c>
      <c r="AG57" s="96">
        <f t="shared" si="21"/>
        <v>3936.0150143999999</v>
      </c>
      <c r="AH57" s="147">
        <f t="shared" si="15"/>
        <v>3748.585728</v>
      </c>
      <c r="AI57" s="125">
        <f t="shared" si="16"/>
        <v>8140</v>
      </c>
      <c r="AJ57" s="140">
        <f t="shared" si="17"/>
        <v>4192.1000000000004</v>
      </c>
      <c r="AK57" s="80">
        <v>4070</v>
      </c>
      <c r="AL57" s="99">
        <v>3570</v>
      </c>
      <c r="AM57" s="93">
        <v>3748.8630144000003</v>
      </c>
    </row>
    <row r="58" spans="1:41" x14ac:dyDescent="0.2">
      <c r="A58" s="64">
        <v>54</v>
      </c>
      <c r="B58" s="106" t="s">
        <v>90</v>
      </c>
      <c r="C58" s="58" t="s">
        <v>91</v>
      </c>
      <c r="D58" s="52">
        <f t="shared" si="9"/>
        <v>330.2</v>
      </c>
      <c r="E58" s="57">
        <f t="shared" si="10"/>
        <v>4953</v>
      </c>
      <c r="F58" s="52">
        <v>0</v>
      </c>
      <c r="G58" s="52">
        <v>0</v>
      </c>
      <c r="H58" s="52">
        <v>0</v>
      </c>
      <c r="I58" s="52">
        <v>0</v>
      </c>
      <c r="J58" s="52"/>
      <c r="K58" s="52">
        <v>0</v>
      </c>
      <c r="L58" s="46">
        <f t="shared" si="0"/>
        <v>4953</v>
      </c>
      <c r="M58" s="51"/>
      <c r="N58" s="45">
        <f t="shared" si="19"/>
        <v>0</v>
      </c>
      <c r="O58" s="45">
        <f t="shared" si="2"/>
        <v>4953</v>
      </c>
      <c r="P58" s="77">
        <v>4949.5600000000004</v>
      </c>
      <c r="Q58" s="45">
        <f t="shared" si="3"/>
        <v>3.4399999999995998</v>
      </c>
      <c r="R58" s="77">
        <v>0.1792</v>
      </c>
      <c r="S58" s="45">
        <f t="shared" si="4"/>
        <v>0.61644799999992828</v>
      </c>
      <c r="T58" s="77">
        <v>452.55</v>
      </c>
      <c r="U58" s="45">
        <f t="shared" si="5"/>
        <v>453.16644799999995</v>
      </c>
      <c r="V58" s="45">
        <f t="shared" si="20"/>
        <v>0</v>
      </c>
      <c r="W58" s="45">
        <f t="shared" si="7"/>
        <v>453.16644799999995</v>
      </c>
      <c r="X58" s="51"/>
      <c r="Y58" s="74">
        <f t="shared" si="11"/>
        <v>0</v>
      </c>
      <c r="Z58" s="72">
        <f t="shared" si="12"/>
        <v>453.16644799999995</v>
      </c>
      <c r="AA58" s="72"/>
      <c r="AB58" s="72"/>
      <c r="AC58" s="72"/>
      <c r="AD58" s="72"/>
      <c r="AE58" s="72"/>
      <c r="AF58" s="92">
        <f t="shared" si="13"/>
        <v>453.16644799999995</v>
      </c>
      <c r="AG58" s="96">
        <f t="shared" si="21"/>
        <v>4724.8252296000001</v>
      </c>
      <c r="AH58" s="147">
        <f t="shared" si="15"/>
        <v>4499.8335520000001</v>
      </c>
      <c r="AI58" s="125">
        <f t="shared" si="16"/>
        <v>9906</v>
      </c>
      <c r="AJ58" s="140">
        <f t="shared" si="17"/>
        <v>5101.59</v>
      </c>
      <c r="AK58" s="80">
        <v>4953</v>
      </c>
      <c r="AL58" s="99">
        <v>4285</v>
      </c>
      <c r="AM58" s="93">
        <v>4499.3167799999992</v>
      </c>
    </row>
    <row r="59" spans="1:41" ht="22.5" x14ac:dyDescent="0.2">
      <c r="A59" s="64">
        <v>55</v>
      </c>
      <c r="B59" s="106" t="s">
        <v>117</v>
      </c>
      <c r="C59" s="60" t="s">
        <v>89</v>
      </c>
      <c r="D59" s="52">
        <f t="shared" si="9"/>
        <v>267.39999999999998</v>
      </c>
      <c r="E59" s="57">
        <f t="shared" si="10"/>
        <v>4011</v>
      </c>
      <c r="F59" s="52">
        <v>0</v>
      </c>
      <c r="G59" s="52">
        <v>0</v>
      </c>
      <c r="H59" s="52">
        <v>0</v>
      </c>
      <c r="I59" s="52">
        <v>0</v>
      </c>
      <c r="J59" s="52"/>
      <c r="K59" s="52">
        <v>0</v>
      </c>
      <c r="L59" s="46">
        <f t="shared" si="0"/>
        <v>4011</v>
      </c>
      <c r="M59" s="53"/>
      <c r="N59" s="45">
        <f t="shared" si="19"/>
        <v>0</v>
      </c>
      <c r="O59" s="45">
        <f t="shared" si="2"/>
        <v>4011</v>
      </c>
      <c r="P59" s="77">
        <v>2422.81</v>
      </c>
      <c r="Q59" s="45">
        <f t="shared" si="3"/>
        <v>1588.19</v>
      </c>
      <c r="R59" s="77">
        <v>0.10879999999999999</v>
      </c>
      <c r="S59" s="45">
        <f t="shared" si="4"/>
        <v>172.795072</v>
      </c>
      <c r="T59" s="77">
        <v>142.19999999999999</v>
      </c>
      <c r="U59" s="45">
        <f t="shared" si="5"/>
        <v>314.99507199999999</v>
      </c>
      <c r="V59" s="45">
        <f t="shared" si="20"/>
        <v>0</v>
      </c>
      <c r="W59" s="45">
        <f t="shared" si="7"/>
        <v>314.99507199999999</v>
      </c>
      <c r="X59" s="51"/>
      <c r="Y59" s="74">
        <f t="shared" si="11"/>
        <v>0</v>
      </c>
      <c r="Z59" s="72">
        <f t="shared" si="12"/>
        <v>314.99507199999999</v>
      </c>
      <c r="AA59" s="72"/>
      <c r="AB59" s="72"/>
      <c r="AC59" s="72"/>
      <c r="AD59" s="72"/>
      <c r="AE59" s="72"/>
      <c r="AF59" s="92">
        <f t="shared" si="13"/>
        <v>314.99507199999999</v>
      </c>
      <c r="AG59" s="96">
        <f t="shared" si="21"/>
        <v>3880.8051743999999</v>
      </c>
      <c r="AH59" s="147">
        <f t="shared" si="15"/>
        <v>3696.0049279999998</v>
      </c>
      <c r="AI59" s="125">
        <f t="shared" si="16"/>
        <v>8022</v>
      </c>
      <c r="AJ59" s="140">
        <f t="shared" si="17"/>
        <v>4131.33</v>
      </c>
      <c r="AK59" s="80">
        <v>4011</v>
      </c>
      <c r="AL59" s="99">
        <v>3520</v>
      </c>
      <c r="AM59" s="93">
        <v>3696.2733024000004</v>
      </c>
    </row>
    <row r="60" spans="1:41" s="318" customFormat="1" x14ac:dyDescent="0.2">
      <c r="A60" s="299">
        <v>56</v>
      </c>
      <c r="B60" s="300" t="s">
        <v>146</v>
      </c>
      <c r="C60" s="301" t="s">
        <v>147</v>
      </c>
      <c r="D60" s="302">
        <f t="shared" si="9"/>
        <v>268.53333333333336</v>
      </c>
      <c r="E60" s="303">
        <f t="shared" si="10"/>
        <v>4028</v>
      </c>
      <c r="F60" s="302">
        <v>0</v>
      </c>
      <c r="G60" s="302">
        <v>0</v>
      </c>
      <c r="H60" s="302">
        <v>0</v>
      </c>
      <c r="I60" s="302">
        <v>0</v>
      </c>
      <c r="J60" s="302"/>
      <c r="K60" s="302">
        <v>0</v>
      </c>
      <c r="L60" s="304">
        <f t="shared" si="0"/>
        <v>4028</v>
      </c>
      <c r="M60" s="305"/>
      <c r="N60" s="306">
        <f t="shared" si="19"/>
        <v>0</v>
      </c>
      <c r="O60" s="306">
        <f t="shared" si="2"/>
        <v>4028</v>
      </c>
      <c r="P60" s="306">
        <v>2422.81</v>
      </c>
      <c r="Q60" s="306">
        <f t="shared" si="3"/>
        <v>1605.19</v>
      </c>
      <c r="R60" s="306">
        <v>0.10879999999999999</v>
      </c>
      <c r="S60" s="306">
        <f t="shared" si="4"/>
        <v>174.64467199999999</v>
      </c>
      <c r="T60" s="306">
        <v>142.19999999999999</v>
      </c>
      <c r="U60" s="306">
        <f t="shared" si="5"/>
        <v>316.84467199999995</v>
      </c>
      <c r="V60" s="306">
        <f t="shared" si="20"/>
        <v>0</v>
      </c>
      <c r="W60" s="306">
        <f t="shared" si="7"/>
        <v>316.84467199999995</v>
      </c>
      <c r="X60" s="307"/>
      <c r="Y60" s="308">
        <f t="shared" si="11"/>
        <v>0</v>
      </c>
      <c r="Z60" s="309">
        <f t="shared" si="12"/>
        <v>316.84467199999995</v>
      </c>
      <c r="AA60" s="309"/>
      <c r="AB60" s="309"/>
      <c r="AC60" s="309"/>
      <c r="AD60" s="309"/>
      <c r="AE60" s="309"/>
      <c r="AF60" s="310">
        <f t="shared" si="13"/>
        <v>316.84467199999995</v>
      </c>
      <c r="AG60" s="311">
        <f t="shared" si="21"/>
        <v>3896.7130944</v>
      </c>
      <c r="AH60" s="312">
        <f t="shared" si="15"/>
        <v>3711.1553279999998</v>
      </c>
      <c r="AI60" s="313">
        <f t="shared" si="16"/>
        <v>8056</v>
      </c>
      <c r="AJ60" s="314">
        <f t="shared" si="17"/>
        <v>4148.84</v>
      </c>
      <c r="AK60" s="315">
        <v>4028</v>
      </c>
      <c r="AL60" s="316">
        <v>3535</v>
      </c>
      <c r="AM60" s="317">
        <v>3711.9004944000003</v>
      </c>
    </row>
    <row r="61" spans="1:41" s="91" customFormat="1" x14ac:dyDescent="0.2">
      <c r="A61" s="82">
        <v>57</v>
      </c>
      <c r="B61" s="109" t="s">
        <v>135</v>
      </c>
      <c r="C61" s="83" t="s">
        <v>134</v>
      </c>
      <c r="D61" s="52">
        <f t="shared" si="9"/>
        <v>0</v>
      </c>
      <c r="E61" s="57">
        <f t="shared" si="10"/>
        <v>0</v>
      </c>
      <c r="F61" s="84">
        <v>0</v>
      </c>
      <c r="G61" s="84">
        <v>0</v>
      </c>
      <c r="H61" s="84">
        <v>0</v>
      </c>
      <c r="I61" s="84">
        <v>0</v>
      </c>
      <c r="J61" s="84"/>
      <c r="K61" s="84">
        <v>0</v>
      </c>
      <c r="L61" s="46" t="e">
        <f t="shared" si="0"/>
        <v>#N/A</v>
      </c>
      <c r="M61" s="85"/>
      <c r="N61" s="86">
        <f t="shared" si="19"/>
        <v>0</v>
      </c>
      <c r="O61" s="45">
        <f t="shared" si="2"/>
        <v>0</v>
      </c>
      <c r="P61" s="86" t="e">
        <f t="shared" ref="P61" si="22">VLOOKUP(O61,Tarifa1,1)</f>
        <v>#N/A</v>
      </c>
      <c r="Q61" s="45" t="e">
        <f t="shared" si="3"/>
        <v>#N/A</v>
      </c>
      <c r="R61" s="86" t="e">
        <f t="shared" ref="R61" si="23">VLOOKUP(O61,Tarifa1,3)</f>
        <v>#N/A</v>
      </c>
      <c r="S61" s="86" t="e">
        <f t="shared" si="4"/>
        <v>#N/A</v>
      </c>
      <c r="T61" s="86" t="e">
        <f t="shared" ref="T61" si="24">VLOOKUP(O61,Tarifa1,2)</f>
        <v>#N/A</v>
      </c>
      <c r="U61" s="45" t="e">
        <f t="shared" si="5"/>
        <v>#N/A</v>
      </c>
      <c r="V61" s="86" t="e">
        <f t="shared" si="20"/>
        <v>#N/A</v>
      </c>
      <c r="W61" s="45" t="e">
        <f t="shared" si="7"/>
        <v>#N/A</v>
      </c>
      <c r="X61" s="87"/>
      <c r="Y61" s="88" t="e">
        <f t="shared" si="11"/>
        <v>#N/A</v>
      </c>
      <c r="Z61" s="72" t="e">
        <f t="shared" si="12"/>
        <v>#N/A</v>
      </c>
      <c r="AA61" s="89"/>
      <c r="AB61" s="89"/>
      <c r="AC61" s="89"/>
      <c r="AD61" s="89"/>
      <c r="AE61" s="89"/>
      <c r="AF61" s="92" t="e">
        <f t="shared" si="13"/>
        <v>#N/A</v>
      </c>
      <c r="AG61" s="96" t="e">
        <f t="shared" si="21"/>
        <v>#N/A</v>
      </c>
      <c r="AH61" s="147" t="e">
        <f t="shared" si="15"/>
        <v>#N/A</v>
      </c>
      <c r="AI61" s="125">
        <f t="shared" si="16"/>
        <v>0</v>
      </c>
      <c r="AJ61" s="140">
        <f t="shared" si="17"/>
        <v>0</v>
      </c>
      <c r="AK61" s="90"/>
      <c r="AL61" s="102"/>
      <c r="AM61" s="93" t="e">
        <v>#N/A</v>
      </c>
    </row>
    <row r="62" spans="1:41" s="274" customFormat="1" x14ac:dyDescent="0.2">
      <c r="A62" s="257">
        <v>58</v>
      </c>
      <c r="B62" s="258" t="s">
        <v>131</v>
      </c>
      <c r="C62" s="259" t="s">
        <v>83</v>
      </c>
      <c r="D62" s="260">
        <f t="shared" si="9"/>
        <v>252.06666666666666</v>
      </c>
      <c r="E62" s="261">
        <f t="shared" si="10"/>
        <v>3781</v>
      </c>
      <c r="F62" s="260">
        <v>0</v>
      </c>
      <c r="G62" s="260">
        <v>0</v>
      </c>
      <c r="H62" s="260">
        <v>0</v>
      </c>
      <c r="I62" s="260">
        <v>0</v>
      </c>
      <c r="J62" s="260"/>
      <c r="K62" s="260">
        <v>0</v>
      </c>
      <c r="L62" s="262">
        <f t="shared" si="0"/>
        <v>3781</v>
      </c>
      <c r="M62" s="263"/>
      <c r="N62" s="264">
        <f t="shared" si="19"/>
        <v>0</v>
      </c>
      <c r="O62" s="264">
        <f t="shared" si="2"/>
        <v>3781</v>
      </c>
      <c r="P62" s="264">
        <v>2422.81</v>
      </c>
      <c r="Q62" s="264">
        <f t="shared" si="3"/>
        <v>1358.19</v>
      </c>
      <c r="R62" s="264">
        <v>0.10879999999999999</v>
      </c>
      <c r="S62" s="264">
        <f t="shared" si="4"/>
        <v>147.771072</v>
      </c>
      <c r="T62" s="264">
        <v>142.19999999999999</v>
      </c>
      <c r="U62" s="264">
        <f t="shared" si="5"/>
        <v>289.97107199999999</v>
      </c>
      <c r="V62" s="264">
        <f t="shared" si="20"/>
        <v>0</v>
      </c>
      <c r="W62" s="264">
        <f t="shared" si="7"/>
        <v>289.97107199999999</v>
      </c>
      <c r="X62" s="265"/>
      <c r="Y62" s="266">
        <f t="shared" si="11"/>
        <v>0</v>
      </c>
      <c r="Z62" s="267">
        <f t="shared" si="12"/>
        <v>289.97107199999999</v>
      </c>
      <c r="AA62" s="267"/>
      <c r="AB62" s="267"/>
      <c r="AC62" s="267"/>
      <c r="AD62" s="267"/>
      <c r="AE62" s="267"/>
      <c r="AF62" s="268">
        <f t="shared" si="13"/>
        <v>289.97107199999999</v>
      </c>
      <c r="AG62" s="269">
        <f t="shared" si="21"/>
        <v>3665.5803744000004</v>
      </c>
      <c r="AH62" s="98">
        <f t="shared" si="15"/>
        <v>3491.0289280000002</v>
      </c>
      <c r="AI62" s="270">
        <f t="shared" si="16"/>
        <v>7562</v>
      </c>
      <c r="AJ62" s="271">
        <f t="shared" si="17"/>
        <v>3894.43</v>
      </c>
      <c r="AK62" s="272">
        <v>3781</v>
      </c>
      <c r="AL62" s="273">
        <v>3325</v>
      </c>
      <c r="AM62" s="93">
        <v>3491.5290144000001</v>
      </c>
    </row>
    <row r="63" spans="1:41" x14ac:dyDescent="0.2">
      <c r="A63" s="48">
        <v>59</v>
      </c>
      <c r="B63" s="106" t="s">
        <v>154</v>
      </c>
      <c r="C63" s="58" t="s">
        <v>155</v>
      </c>
      <c r="D63" s="52">
        <f t="shared" si="9"/>
        <v>232.06666666666666</v>
      </c>
      <c r="E63" s="57">
        <f t="shared" si="10"/>
        <v>3481</v>
      </c>
      <c r="F63" s="52">
        <v>0</v>
      </c>
      <c r="G63" s="52">
        <v>0</v>
      </c>
      <c r="H63" s="52">
        <v>0</v>
      </c>
      <c r="I63" s="52">
        <v>0</v>
      </c>
      <c r="J63" s="52"/>
      <c r="K63" s="52">
        <v>0</v>
      </c>
      <c r="L63" s="46">
        <f t="shared" si="0"/>
        <v>3481</v>
      </c>
      <c r="M63" s="53"/>
      <c r="N63" s="45">
        <f t="shared" si="19"/>
        <v>0</v>
      </c>
      <c r="O63" s="45">
        <f t="shared" si="2"/>
        <v>3481</v>
      </c>
      <c r="P63" s="77">
        <v>2422.81</v>
      </c>
      <c r="Q63" s="45">
        <f t="shared" si="3"/>
        <v>1058.19</v>
      </c>
      <c r="R63" s="77">
        <v>0.10879999999999999</v>
      </c>
      <c r="S63" s="45">
        <f t="shared" si="4"/>
        <v>115.131072</v>
      </c>
      <c r="T63" s="77">
        <v>142.19999999999999</v>
      </c>
      <c r="U63" s="45">
        <f t="shared" si="5"/>
        <v>257.33107200000001</v>
      </c>
      <c r="V63" s="45">
        <f t="shared" si="20"/>
        <v>0</v>
      </c>
      <c r="W63" s="45">
        <f t="shared" si="7"/>
        <v>257.33107200000001</v>
      </c>
      <c r="X63" s="51"/>
      <c r="Y63" s="74">
        <f t="shared" si="11"/>
        <v>0</v>
      </c>
      <c r="Z63" s="72">
        <f t="shared" si="12"/>
        <v>257.33107200000001</v>
      </c>
      <c r="AA63" s="72"/>
      <c r="AB63" s="72"/>
      <c r="AC63" s="72"/>
      <c r="AD63" s="72"/>
      <c r="AE63" s="72"/>
      <c r="AF63" s="92">
        <f t="shared" si="13"/>
        <v>257.33107200000001</v>
      </c>
      <c r="AG63" s="96">
        <f t="shared" si="21"/>
        <v>3384.8523743999999</v>
      </c>
      <c r="AH63" s="147">
        <f t="shared" si="15"/>
        <v>3223.6689280000001</v>
      </c>
      <c r="AI63" s="125">
        <f t="shared" si="16"/>
        <v>6962</v>
      </c>
      <c r="AJ63" s="140">
        <f t="shared" si="17"/>
        <v>3585.43</v>
      </c>
      <c r="AK63" s="80">
        <v>3481</v>
      </c>
      <c r="AL63" s="99">
        <v>3070</v>
      </c>
      <c r="AM63" s="93">
        <v>3223.9016544000001</v>
      </c>
    </row>
    <row r="64" spans="1:41" s="252" customFormat="1" x14ac:dyDescent="0.2">
      <c r="A64" s="233">
        <v>60</v>
      </c>
      <c r="B64" s="232" t="s">
        <v>128</v>
      </c>
      <c r="C64" s="234" t="s">
        <v>127</v>
      </c>
      <c r="D64" s="235">
        <f t="shared" si="9"/>
        <v>236.93333333333334</v>
      </c>
      <c r="E64" s="236">
        <f t="shared" si="10"/>
        <v>3554</v>
      </c>
      <c r="F64" s="235">
        <v>0</v>
      </c>
      <c r="G64" s="235">
        <v>0</v>
      </c>
      <c r="H64" s="235">
        <v>0</v>
      </c>
      <c r="I64" s="235">
        <v>0</v>
      </c>
      <c r="J64" s="235"/>
      <c r="K64" s="235">
        <v>0</v>
      </c>
      <c r="L64" s="237">
        <f t="shared" si="0"/>
        <v>3554</v>
      </c>
      <c r="M64" s="238"/>
      <c r="N64" s="239">
        <f t="shared" si="19"/>
        <v>0</v>
      </c>
      <c r="O64" s="239">
        <f t="shared" si="2"/>
        <v>3554</v>
      </c>
      <c r="P64" s="239">
        <v>2422.81</v>
      </c>
      <c r="Q64" s="239">
        <f t="shared" si="3"/>
        <v>1131.19</v>
      </c>
      <c r="R64" s="239">
        <v>0.10879999999999999</v>
      </c>
      <c r="S64" s="239">
        <f t="shared" si="4"/>
        <v>123.073472</v>
      </c>
      <c r="T64" s="239">
        <v>142.19999999999999</v>
      </c>
      <c r="U64" s="239">
        <f t="shared" si="5"/>
        <v>265.27347199999997</v>
      </c>
      <c r="V64" s="239">
        <f t="shared" si="20"/>
        <v>0</v>
      </c>
      <c r="W64" s="239">
        <f t="shared" si="7"/>
        <v>265.27347199999997</v>
      </c>
      <c r="X64" s="240"/>
      <c r="Y64" s="241">
        <f t="shared" si="11"/>
        <v>0</v>
      </c>
      <c r="Z64" s="242">
        <f t="shared" si="12"/>
        <v>265.27347199999997</v>
      </c>
      <c r="AA64" s="242"/>
      <c r="AB64" s="242"/>
      <c r="AC64" s="242"/>
      <c r="AD64" s="242"/>
      <c r="AE64" s="242"/>
      <c r="AF64" s="243">
        <f t="shared" si="13"/>
        <v>265.27347199999997</v>
      </c>
      <c r="AG64" s="244">
        <f t="shared" si="21"/>
        <v>3453.1628544</v>
      </c>
      <c r="AH64" s="245">
        <f t="shared" si="15"/>
        <v>3288.7265280000001</v>
      </c>
      <c r="AI64" s="246">
        <f t="shared" si="16"/>
        <v>7108</v>
      </c>
      <c r="AJ64" s="247">
        <f t="shared" si="17"/>
        <v>3660.62</v>
      </c>
      <c r="AK64" s="248">
        <v>3554</v>
      </c>
      <c r="AL64" s="255">
        <v>3132</v>
      </c>
      <c r="AM64" s="250">
        <v>3288.9369744000001</v>
      </c>
    </row>
    <row r="65" spans="1:40" ht="22.5" x14ac:dyDescent="0.2">
      <c r="A65" s="64">
        <v>61</v>
      </c>
      <c r="B65" s="106" t="s">
        <v>203</v>
      </c>
      <c r="C65" s="60" t="s">
        <v>186</v>
      </c>
      <c r="D65" s="52">
        <f t="shared" si="9"/>
        <v>222.1</v>
      </c>
      <c r="E65" s="57">
        <f t="shared" si="10"/>
        <v>3331.5</v>
      </c>
      <c r="F65" s="52">
        <v>0</v>
      </c>
      <c r="G65" s="52">
        <v>0</v>
      </c>
      <c r="H65" s="52">
        <v>0</v>
      </c>
      <c r="I65" s="52">
        <v>0</v>
      </c>
      <c r="J65" s="52"/>
      <c r="K65" s="52">
        <v>0</v>
      </c>
      <c r="L65" s="46">
        <f t="shared" si="0"/>
        <v>3331.5</v>
      </c>
      <c r="M65" s="51"/>
      <c r="N65" s="45">
        <f t="shared" si="19"/>
        <v>0</v>
      </c>
      <c r="O65" s="45">
        <f t="shared" si="2"/>
        <v>3331.5</v>
      </c>
      <c r="P65" s="77">
        <v>2422.81</v>
      </c>
      <c r="Q65" s="45">
        <f t="shared" si="3"/>
        <v>908.69</v>
      </c>
      <c r="R65" s="77">
        <v>0.10879999999999999</v>
      </c>
      <c r="S65" s="45">
        <f t="shared" si="4"/>
        <v>98.865471999999997</v>
      </c>
      <c r="T65" s="77">
        <v>142.19999999999999</v>
      </c>
      <c r="U65" s="45">
        <f t="shared" si="5"/>
        <v>241.065472</v>
      </c>
      <c r="V65" s="45">
        <f t="shared" si="20"/>
        <v>0</v>
      </c>
      <c r="W65" s="45">
        <f t="shared" si="7"/>
        <v>241.065472</v>
      </c>
      <c r="X65" s="51"/>
      <c r="Y65" s="74">
        <f t="shared" si="11"/>
        <v>0</v>
      </c>
      <c r="Z65" s="72">
        <f t="shared" si="12"/>
        <v>241.065472</v>
      </c>
      <c r="AA65" s="72"/>
      <c r="AB65" s="72"/>
      <c r="AC65" s="72"/>
      <c r="AD65" s="72"/>
      <c r="AE65" s="72"/>
      <c r="AF65" s="92">
        <f t="shared" si="13"/>
        <v>241.065472</v>
      </c>
      <c r="AG65" s="96">
        <f>(AH65*0.03)+AH65</f>
        <v>3183.1475638399997</v>
      </c>
      <c r="AH65" s="147">
        <f t="shared" si="15"/>
        <v>3090.4345279999998</v>
      </c>
      <c r="AI65" s="125">
        <f t="shared" si="16"/>
        <v>6663</v>
      </c>
      <c r="AJ65" s="140">
        <f t="shared" si="17"/>
        <v>3431.4450000000002</v>
      </c>
      <c r="AK65" s="80">
        <v>3331.5</v>
      </c>
      <c r="AL65" s="99">
        <v>3000</v>
      </c>
      <c r="AM65" s="93">
        <v>3090.43602784</v>
      </c>
    </row>
    <row r="66" spans="1:40" s="318" customFormat="1" x14ac:dyDescent="0.2">
      <c r="A66" s="299">
        <v>62</v>
      </c>
      <c r="B66" s="300" t="s">
        <v>152</v>
      </c>
      <c r="C66" s="321" t="s">
        <v>127</v>
      </c>
      <c r="D66" s="302">
        <f t="shared" si="9"/>
        <v>241.76666666666668</v>
      </c>
      <c r="E66" s="303">
        <f t="shared" si="10"/>
        <v>3626.5</v>
      </c>
      <c r="F66" s="302">
        <v>0</v>
      </c>
      <c r="G66" s="302">
        <v>0</v>
      </c>
      <c r="H66" s="302">
        <v>0</v>
      </c>
      <c r="I66" s="302">
        <v>0</v>
      </c>
      <c r="J66" s="302"/>
      <c r="K66" s="302">
        <v>0</v>
      </c>
      <c r="L66" s="304">
        <f t="shared" si="0"/>
        <v>3626.5</v>
      </c>
      <c r="M66" s="305"/>
      <c r="N66" s="306">
        <f t="shared" si="19"/>
        <v>0</v>
      </c>
      <c r="O66" s="306">
        <f t="shared" si="2"/>
        <v>3626.5</v>
      </c>
      <c r="P66" s="306">
        <v>2422.81</v>
      </c>
      <c r="Q66" s="306">
        <f t="shared" si="3"/>
        <v>1203.69</v>
      </c>
      <c r="R66" s="306">
        <v>0.10879999999999999</v>
      </c>
      <c r="S66" s="306">
        <f t="shared" si="4"/>
        <v>130.96147199999999</v>
      </c>
      <c r="T66" s="306">
        <v>142.19999999999999</v>
      </c>
      <c r="U66" s="306">
        <f t="shared" si="5"/>
        <v>273.161472</v>
      </c>
      <c r="V66" s="306">
        <f t="shared" si="20"/>
        <v>0</v>
      </c>
      <c r="W66" s="306">
        <f t="shared" si="7"/>
        <v>273.161472</v>
      </c>
      <c r="X66" s="307"/>
      <c r="Y66" s="308">
        <f t="shared" si="11"/>
        <v>0</v>
      </c>
      <c r="Z66" s="309">
        <f t="shared" si="12"/>
        <v>273.161472</v>
      </c>
      <c r="AA66" s="309"/>
      <c r="AB66" s="309"/>
      <c r="AC66" s="309"/>
      <c r="AD66" s="309"/>
      <c r="AE66" s="309"/>
      <c r="AF66" s="310">
        <f t="shared" si="13"/>
        <v>273.161472</v>
      </c>
      <c r="AG66" s="311">
        <f>(AH66*0.05)+AH66</f>
        <v>3521.0054544000004</v>
      </c>
      <c r="AH66" s="312">
        <f t="shared" si="15"/>
        <v>3353.3385280000002</v>
      </c>
      <c r="AI66" s="313">
        <f t="shared" si="16"/>
        <v>7253</v>
      </c>
      <c r="AJ66" s="314">
        <f t="shared" si="17"/>
        <v>3735.2950000000001</v>
      </c>
      <c r="AK66" s="315">
        <v>3626.5</v>
      </c>
      <c r="AL66" s="316">
        <v>3193</v>
      </c>
      <c r="AM66" s="317">
        <v>3353.0365344000002</v>
      </c>
    </row>
    <row r="67" spans="1:40" x14ac:dyDescent="0.2">
      <c r="A67" s="64">
        <v>63</v>
      </c>
      <c r="B67" s="106" t="s">
        <v>86</v>
      </c>
      <c r="C67" s="58" t="s">
        <v>87</v>
      </c>
      <c r="D67" s="52">
        <f t="shared" si="9"/>
        <v>226.56666666666666</v>
      </c>
      <c r="E67" s="57">
        <f t="shared" si="10"/>
        <v>3398.5</v>
      </c>
      <c r="F67" s="52">
        <v>0</v>
      </c>
      <c r="G67" s="52">
        <v>0</v>
      </c>
      <c r="H67" s="52">
        <v>0</v>
      </c>
      <c r="I67" s="52">
        <v>0</v>
      </c>
      <c r="J67" s="52"/>
      <c r="K67" s="52">
        <v>0</v>
      </c>
      <c r="L67" s="46">
        <f t="shared" si="0"/>
        <v>3398.5</v>
      </c>
      <c r="M67" s="51"/>
      <c r="N67" s="45">
        <f t="shared" si="19"/>
        <v>0</v>
      </c>
      <c r="O67" s="45">
        <f t="shared" si="2"/>
        <v>3398.5</v>
      </c>
      <c r="P67" s="77">
        <v>2422.81</v>
      </c>
      <c r="Q67" s="45">
        <f t="shared" si="3"/>
        <v>975.69</v>
      </c>
      <c r="R67" s="77">
        <v>0.10879999999999999</v>
      </c>
      <c r="S67" s="45">
        <f t="shared" si="4"/>
        <v>106.155072</v>
      </c>
      <c r="T67" s="77">
        <v>142.19999999999999</v>
      </c>
      <c r="U67" s="45">
        <f t="shared" si="5"/>
        <v>248.35507200000001</v>
      </c>
      <c r="V67" s="45">
        <f t="shared" si="20"/>
        <v>0</v>
      </c>
      <c r="W67" s="45">
        <f t="shared" si="7"/>
        <v>248.35507200000001</v>
      </c>
      <c r="X67" s="51"/>
      <c r="Y67" s="74">
        <f t="shared" si="11"/>
        <v>0</v>
      </c>
      <c r="Z67" s="72">
        <f t="shared" si="12"/>
        <v>248.35507200000001</v>
      </c>
      <c r="AA67" s="72"/>
      <c r="AB67" s="72"/>
      <c r="AC67" s="72"/>
      <c r="AD67" s="72"/>
      <c r="AE67" s="72"/>
      <c r="AF67" s="92">
        <f t="shared" si="13"/>
        <v>248.35507200000001</v>
      </c>
      <c r="AG67" s="96">
        <f>(AH67*0.05)+AH67</f>
        <v>3307.6521744000001</v>
      </c>
      <c r="AH67" s="147">
        <f t="shared" si="15"/>
        <v>3150.1449280000002</v>
      </c>
      <c r="AI67" s="125">
        <f t="shared" si="16"/>
        <v>6797</v>
      </c>
      <c r="AJ67" s="140">
        <f t="shared" si="17"/>
        <v>3500.4549999999999</v>
      </c>
      <c r="AK67" s="80">
        <v>3398.5</v>
      </c>
      <c r="AL67" s="99">
        <v>3000</v>
      </c>
      <c r="AM67" s="93">
        <v>3150.4444943999997</v>
      </c>
    </row>
    <row r="68" spans="1:40" x14ac:dyDescent="0.2">
      <c r="A68" s="64">
        <v>64</v>
      </c>
      <c r="B68" s="106" t="s">
        <v>206</v>
      </c>
      <c r="C68" s="58" t="s">
        <v>67</v>
      </c>
      <c r="D68" s="52">
        <f t="shared" si="9"/>
        <v>222.1</v>
      </c>
      <c r="E68" s="57">
        <f t="shared" si="10"/>
        <v>3331.5</v>
      </c>
      <c r="F68" s="52">
        <v>0</v>
      </c>
      <c r="G68" s="52">
        <v>0</v>
      </c>
      <c r="H68" s="52">
        <v>0</v>
      </c>
      <c r="I68" s="52">
        <v>0</v>
      </c>
      <c r="J68" s="52"/>
      <c r="K68" s="52">
        <v>0</v>
      </c>
      <c r="L68" s="46">
        <f t="shared" si="0"/>
        <v>3331.5</v>
      </c>
      <c r="M68" s="51"/>
      <c r="N68" s="45">
        <f t="shared" si="19"/>
        <v>0</v>
      </c>
      <c r="O68" s="45">
        <f t="shared" si="2"/>
        <v>3331.5</v>
      </c>
      <c r="P68" s="77">
        <v>2422.81</v>
      </c>
      <c r="Q68" s="45">
        <f t="shared" si="3"/>
        <v>908.69</v>
      </c>
      <c r="R68" s="77">
        <v>0.10879999999999999</v>
      </c>
      <c r="S68" s="45">
        <f t="shared" si="4"/>
        <v>98.865471999999997</v>
      </c>
      <c r="T68" s="77">
        <v>142.19999999999999</v>
      </c>
      <c r="U68" s="45">
        <f t="shared" si="5"/>
        <v>241.065472</v>
      </c>
      <c r="V68" s="45">
        <f t="shared" si="20"/>
        <v>0</v>
      </c>
      <c r="W68" s="45">
        <f t="shared" si="7"/>
        <v>241.065472</v>
      </c>
      <c r="X68" s="51"/>
      <c r="Y68" s="74">
        <f t="shared" si="11"/>
        <v>0</v>
      </c>
      <c r="Z68" s="72">
        <f t="shared" si="12"/>
        <v>241.065472</v>
      </c>
      <c r="AA68" s="72"/>
      <c r="AB68" s="72"/>
      <c r="AC68" s="72"/>
      <c r="AD68" s="72"/>
      <c r="AE68" s="72"/>
      <c r="AF68" s="92">
        <f t="shared" si="13"/>
        <v>241.065472</v>
      </c>
      <c r="AG68" s="96">
        <f t="shared" si="14"/>
        <v>3183.1475638399997</v>
      </c>
      <c r="AH68" s="147">
        <f t="shared" si="15"/>
        <v>3090.4345279999998</v>
      </c>
      <c r="AI68" s="125">
        <f t="shared" si="16"/>
        <v>6663</v>
      </c>
      <c r="AJ68" s="140">
        <f t="shared" si="17"/>
        <v>3431.4450000000002</v>
      </c>
      <c r="AK68" s="80">
        <v>3331.5</v>
      </c>
      <c r="AL68" s="99">
        <v>3000</v>
      </c>
      <c r="AM68" s="93">
        <v>3090.43602784</v>
      </c>
      <c r="AN68">
        <f>AK68*2</f>
        <v>6663</v>
      </c>
    </row>
    <row r="69" spans="1:40" ht="22.5" x14ac:dyDescent="0.2">
      <c r="A69" s="48">
        <v>65</v>
      </c>
      <c r="B69" s="106" t="s">
        <v>119</v>
      </c>
      <c r="C69" s="60" t="s">
        <v>120</v>
      </c>
      <c r="D69" s="52">
        <f t="shared" si="9"/>
        <v>183.33333333333334</v>
      </c>
      <c r="E69" s="57">
        <f t="shared" si="10"/>
        <v>2750</v>
      </c>
      <c r="F69" s="52">
        <v>0</v>
      </c>
      <c r="G69" s="52">
        <v>0</v>
      </c>
      <c r="H69" s="52">
        <v>0</v>
      </c>
      <c r="I69" s="52">
        <v>0</v>
      </c>
      <c r="J69" s="52"/>
      <c r="K69" s="52">
        <v>0</v>
      </c>
      <c r="L69" s="46">
        <f t="shared" ref="L69:L87" si="25">E69+K69+Y69</f>
        <v>2750</v>
      </c>
      <c r="M69" s="53"/>
      <c r="N69" s="45">
        <f t="shared" si="19"/>
        <v>0</v>
      </c>
      <c r="O69" s="45">
        <f t="shared" si="2"/>
        <v>2750</v>
      </c>
      <c r="P69" s="77">
        <v>2422.81</v>
      </c>
      <c r="Q69" s="45">
        <f t="shared" si="3"/>
        <v>327.19000000000005</v>
      </c>
      <c r="R69" s="77">
        <v>0.10879999999999999</v>
      </c>
      <c r="S69" s="45">
        <f t="shared" si="4"/>
        <v>35.598272000000001</v>
      </c>
      <c r="T69" s="77">
        <v>142.19999999999999</v>
      </c>
      <c r="U69" s="45">
        <f t="shared" si="5"/>
        <v>177.798272</v>
      </c>
      <c r="V69" s="45">
        <f t="shared" si="20"/>
        <v>0</v>
      </c>
      <c r="W69" s="45">
        <f t="shared" ref="W69:W89" si="26">U69-V69</f>
        <v>177.798272</v>
      </c>
      <c r="X69" s="51"/>
      <c r="Y69" s="74">
        <f t="shared" si="11"/>
        <v>0</v>
      </c>
      <c r="Z69" s="72">
        <f t="shared" si="12"/>
        <v>177.798272</v>
      </c>
      <c r="AA69" s="72"/>
      <c r="AB69" s="72"/>
      <c r="AC69" s="72"/>
      <c r="AD69" s="72"/>
      <c r="AE69" s="72"/>
      <c r="AF69" s="92">
        <f t="shared" si="13"/>
        <v>177.798272</v>
      </c>
      <c r="AG69" s="96">
        <f>(AH69*0.05)+AH69</f>
        <v>2700.8118144</v>
      </c>
      <c r="AH69" s="147">
        <f t="shared" si="15"/>
        <v>2572.201728</v>
      </c>
      <c r="AI69" s="125">
        <f t="shared" si="16"/>
        <v>5500</v>
      </c>
      <c r="AJ69" s="140">
        <f t="shared" si="17"/>
        <v>2832.5</v>
      </c>
      <c r="AK69" s="80">
        <v>2750</v>
      </c>
      <c r="AL69" s="99">
        <v>2450</v>
      </c>
      <c r="AM69" s="93">
        <v>2572.6126944000002</v>
      </c>
    </row>
    <row r="70" spans="1:40" ht="22.5" x14ac:dyDescent="0.2">
      <c r="A70" s="64">
        <v>66</v>
      </c>
      <c r="B70" s="106" t="s">
        <v>224</v>
      </c>
      <c r="C70" s="60" t="s">
        <v>95</v>
      </c>
      <c r="D70" s="52">
        <f t="shared" ref="D70:D83" si="27">E70/15</f>
        <v>51.8</v>
      </c>
      <c r="E70" s="57">
        <f t="shared" ref="E70:E105" si="28">AK70</f>
        <v>777</v>
      </c>
      <c r="F70" s="52">
        <v>0</v>
      </c>
      <c r="G70" s="52">
        <v>0</v>
      </c>
      <c r="H70" s="52">
        <v>0</v>
      </c>
      <c r="I70" s="52">
        <v>0</v>
      </c>
      <c r="J70" s="52"/>
      <c r="K70" s="52">
        <v>0</v>
      </c>
      <c r="L70" s="46">
        <f t="shared" si="25"/>
        <v>840.34144000000003</v>
      </c>
      <c r="M70" s="53"/>
      <c r="N70" s="45">
        <f t="shared" si="19"/>
        <v>0</v>
      </c>
      <c r="O70" s="45">
        <f t="shared" ref="O70:O81" si="29">E70+F70+G70+J70+N70+H70</f>
        <v>777</v>
      </c>
      <c r="P70" s="77">
        <v>285.45999999999998</v>
      </c>
      <c r="Q70" s="45">
        <f t="shared" ref="Q70:Q81" si="30">O70-P70</f>
        <v>491.54</v>
      </c>
      <c r="R70" s="77">
        <v>6.4000000000000001E-2</v>
      </c>
      <c r="S70" s="45">
        <f t="shared" ref="S70:S81" si="31">Q70*R70</f>
        <v>31.458560000000002</v>
      </c>
      <c r="T70" s="77">
        <v>5.55</v>
      </c>
      <c r="U70" s="45">
        <f t="shared" ref="U70:U99" si="32">S70+T70</f>
        <v>37.008560000000003</v>
      </c>
      <c r="V70" s="45">
        <f t="shared" si="20"/>
        <v>100.35</v>
      </c>
      <c r="W70" s="45">
        <f t="shared" si="26"/>
        <v>-63.341439999999992</v>
      </c>
      <c r="X70" s="51"/>
      <c r="Y70" s="74">
        <f t="shared" si="11"/>
        <v>63.341439999999992</v>
      </c>
      <c r="Z70" s="72">
        <f t="shared" ref="Z70:Z95" si="33">W70</f>
        <v>-63.341439999999992</v>
      </c>
      <c r="AA70" s="72"/>
      <c r="AB70" s="72"/>
      <c r="AC70" s="72"/>
      <c r="AD70" s="72"/>
      <c r="AE70" s="72"/>
      <c r="AF70" s="92">
        <f t="shared" ref="AF70:AF101" si="34">AE70+AC70+AA70+Z70+AD70+AB70</f>
        <v>-63.341439999999992</v>
      </c>
      <c r="AG70" s="96">
        <f>(AH70*0.05)+AH70</f>
        <v>882.35851200000002</v>
      </c>
      <c r="AH70" s="147">
        <f t="shared" ref="AH70:AH101" si="35">E70-AF70</f>
        <v>840.34144000000003</v>
      </c>
      <c r="AI70" s="125">
        <f t="shared" ref="AI70:AI108" si="36">AK70*2</f>
        <v>1554</v>
      </c>
      <c r="AJ70" s="140">
        <f t="shared" ref="AJ70:AJ109" si="37">(AK70*0.03)+AK70</f>
        <v>800.31</v>
      </c>
      <c r="AK70" s="80">
        <v>777</v>
      </c>
      <c r="AL70" s="101">
        <v>800</v>
      </c>
      <c r="AM70" s="93">
        <v>840.09811200000001</v>
      </c>
    </row>
    <row r="71" spans="1:40" s="252" customFormat="1" x14ac:dyDescent="0.2">
      <c r="A71" s="233">
        <v>67</v>
      </c>
      <c r="B71" s="232" t="s">
        <v>126</v>
      </c>
      <c r="C71" s="234" t="s">
        <v>127</v>
      </c>
      <c r="D71" s="235">
        <f t="shared" si="27"/>
        <v>178.66666666666666</v>
      </c>
      <c r="E71" s="236">
        <f t="shared" si="28"/>
        <v>2680</v>
      </c>
      <c r="F71" s="235">
        <v>0</v>
      </c>
      <c r="G71" s="235">
        <v>0</v>
      </c>
      <c r="H71" s="235">
        <v>0</v>
      </c>
      <c r="I71" s="235">
        <v>0</v>
      </c>
      <c r="J71" s="235"/>
      <c r="K71" s="235">
        <v>0</v>
      </c>
      <c r="L71" s="237">
        <f t="shared" si="25"/>
        <v>2680</v>
      </c>
      <c r="M71" s="238"/>
      <c r="N71" s="239">
        <f t="shared" si="19"/>
        <v>0</v>
      </c>
      <c r="O71" s="239">
        <f t="shared" si="29"/>
        <v>2680</v>
      </c>
      <c r="P71" s="239">
        <v>2422.81</v>
      </c>
      <c r="Q71" s="239">
        <f t="shared" si="30"/>
        <v>257.19000000000005</v>
      </c>
      <c r="R71" s="239">
        <v>0.10879999999999999</v>
      </c>
      <c r="S71" s="239">
        <f t="shared" si="31"/>
        <v>27.982272000000005</v>
      </c>
      <c r="T71" s="239">
        <v>142.19999999999999</v>
      </c>
      <c r="U71" s="239">
        <f t="shared" si="32"/>
        <v>170.18227199999998</v>
      </c>
      <c r="V71" s="239">
        <f t="shared" si="20"/>
        <v>0</v>
      </c>
      <c r="W71" s="239">
        <f t="shared" si="26"/>
        <v>170.18227199999998</v>
      </c>
      <c r="X71" s="240"/>
      <c r="Y71" s="241">
        <f t="shared" ref="Y71:Y80" si="38">-IF(W71&gt;0,0,W71)</f>
        <v>0</v>
      </c>
      <c r="Z71" s="242">
        <f t="shared" si="33"/>
        <v>170.18227199999998</v>
      </c>
      <c r="AA71" s="242"/>
      <c r="AB71" s="242"/>
      <c r="AC71" s="242"/>
      <c r="AD71" s="254"/>
      <c r="AE71" s="242"/>
      <c r="AF71" s="243">
        <f t="shared" si="34"/>
        <v>170.18227199999998</v>
      </c>
      <c r="AG71" s="244">
        <f>(AH71*0.05)+AH71</f>
        <v>2635.3086143999999</v>
      </c>
      <c r="AH71" s="245">
        <f t="shared" si="35"/>
        <v>2509.817728</v>
      </c>
      <c r="AI71" s="246">
        <f t="shared" si="36"/>
        <v>5360</v>
      </c>
      <c r="AJ71" s="247">
        <f t="shared" si="37"/>
        <v>2760.4</v>
      </c>
      <c r="AK71" s="248">
        <v>2680</v>
      </c>
      <c r="AL71" s="255">
        <v>2390</v>
      </c>
      <c r="AM71" s="250">
        <v>2509.9167744000001</v>
      </c>
      <c r="AN71" s="253">
        <f>AK71-AF71</f>
        <v>2509.817728</v>
      </c>
    </row>
    <row r="72" spans="1:40" ht="22.5" x14ac:dyDescent="0.2">
      <c r="A72" s="48">
        <v>68</v>
      </c>
      <c r="B72" s="106" t="s">
        <v>220</v>
      </c>
      <c r="C72" s="60" t="s">
        <v>89</v>
      </c>
      <c r="D72" s="52">
        <f t="shared" si="27"/>
        <v>170.46666666666667</v>
      </c>
      <c r="E72" s="57">
        <f t="shared" si="28"/>
        <v>2557</v>
      </c>
      <c r="F72" s="52">
        <v>0</v>
      </c>
      <c r="G72" s="52">
        <v>0</v>
      </c>
      <c r="H72" s="52">
        <v>0</v>
      </c>
      <c r="I72" s="52">
        <v>0</v>
      </c>
      <c r="J72" s="52"/>
      <c r="K72" s="52">
        <v>0</v>
      </c>
      <c r="L72" s="46">
        <f t="shared" si="25"/>
        <v>2557</v>
      </c>
      <c r="M72" s="51"/>
      <c r="N72" s="45">
        <f t="shared" si="19"/>
        <v>0</v>
      </c>
      <c r="O72" s="45">
        <f t="shared" si="29"/>
        <v>2557</v>
      </c>
      <c r="P72" s="77">
        <v>2422.81</v>
      </c>
      <c r="Q72" s="45">
        <f t="shared" si="30"/>
        <v>134.19000000000005</v>
      </c>
      <c r="R72" s="77">
        <v>0.10879999999999999</v>
      </c>
      <c r="S72" s="45">
        <f t="shared" si="31"/>
        <v>14.599872000000005</v>
      </c>
      <c r="T72" s="77">
        <v>142.19999999999999</v>
      </c>
      <c r="U72" s="45">
        <f t="shared" si="32"/>
        <v>156.79987199999999</v>
      </c>
      <c r="V72" s="45">
        <f t="shared" si="20"/>
        <v>0</v>
      </c>
      <c r="W72" s="45">
        <f t="shared" si="26"/>
        <v>156.79987199999999</v>
      </c>
      <c r="X72" s="51"/>
      <c r="Y72" s="74">
        <f t="shared" si="38"/>
        <v>0</v>
      </c>
      <c r="Z72" s="72">
        <f t="shared" si="33"/>
        <v>156.79987199999999</v>
      </c>
      <c r="AA72" s="72"/>
      <c r="AB72" s="72"/>
      <c r="AC72" s="72"/>
      <c r="AD72" s="72"/>
      <c r="AE72" s="72"/>
      <c r="AF72" s="92">
        <f t="shared" si="34"/>
        <v>156.79987199999999</v>
      </c>
      <c r="AG72" s="96">
        <f>(AH72*0.03)+AH72</f>
        <v>2472.2061318400001</v>
      </c>
      <c r="AH72" s="147">
        <f t="shared" si="35"/>
        <v>2400.2001279999999</v>
      </c>
      <c r="AI72" s="125">
        <f t="shared" si="36"/>
        <v>5114</v>
      </c>
      <c r="AJ72" s="140">
        <f t="shared" si="37"/>
        <v>2633.71</v>
      </c>
      <c r="AK72" s="80">
        <v>2557</v>
      </c>
      <c r="AL72" s="99">
        <v>2200</v>
      </c>
      <c r="AM72" s="93">
        <v>2266.1559832000003</v>
      </c>
    </row>
    <row r="73" spans="1:40" ht="22.5" x14ac:dyDescent="0.2">
      <c r="A73" s="64">
        <v>69</v>
      </c>
      <c r="B73" s="106" t="s">
        <v>207</v>
      </c>
      <c r="C73" s="60" t="s">
        <v>89</v>
      </c>
      <c r="D73" s="52">
        <f t="shared" si="27"/>
        <v>148.66666666666666</v>
      </c>
      <c r="E73" s="57">
        <f t="shared" si="28"/>
        <v>2230</v>
      </c>
      <c r="F73" s="52">
        <v>0</v>
      </c>
      <c r="G73" s="52">
        <v>0</v>
      </c>
      <c r="H73" s="52">
        <v>0</v>
      </c>
      <c r="I73" s="52">
        <v>0</v>
      </c>
      <c r="J73" s="52"/>
      <c r="K73" s="52">
        <v>0</v>
      </c>
      <c r="L73" s="46">
        <f t="shared" si="25"/>
        <v>2230</v>
      </c>
      <c r="M73" s="51"/>
      <c r="N73" s="45">
        <f t="shared" si="19"/>
        <v>0</v>
      </c>
      <c r="O73" s="45">
        <f t="shared" si="29"/>
        <v>2230</v>
      </c>
      <c r="P73" s="77">
        <v>285.45999999999998</v>
      </c>
      <c r="Q73" s="45">
        <f t="shared" si="30"/>
        <v>1944.54</v>
      </c>
      <c r="R73" s="77">
        <v>6.4000000000000001E-2</v>
      </c>
      <c r="S73" s="45">
        <f t="shared" si="31"/>
        <v>124.45056</v>
      </c>
      <c r="T73" s="77">
        <v>5.55</v>
      </c>
      <c r="U73" s="45">
        <f t="shared" si="32"/>
        <v>130.00056000000001</v>
      </c>
      <c r="V73" s="45">
        <f t="shared" si="20"/>
        <v>0</v>
      </c>
      <c r="W73" s="45">
        <f t="shared" si="26"/>
        <v>130.00056000000001</v>
      </c>
      <c r="X73" s="51"/>
      <c r="Y73" s="74">
        <f t="shared" si="38"/>
        <v>0</v>
      </c>
      <c r="Z73" s="72">
        <f t="shared" si="33"/>
        <v>130.00056000000001</v>
      </c>
      <c r="AA73" s="72"/>
      <c r="AB73" s="72"/>
      <c r="AC73" s="72"/>
      <c r="AD73" s="72"/>
      <c r="AE73" s="72"/>
      <c r="AF73" s="92">
        <f t="shared" si="34"/>
        <v>130.00056000000001</v>
      </c>
      <c r="AG73" s="96">
        <f>(AH73*0.05)+AH73</f>
        <v>2204.9994120000001</v>
      </c>
      <c r="AH73" s="147">
        <f t="shared" si="35"/>
        <v>2099.99944</v>
      </c>
      <c r="AI73" s="125">
        <f t="shared" si="36"/>
        <v>4460</v>
      </c>
      <c r="AJ73" s="140">
        <f t="shared" si="37"/>
        <v>2296.9</v>
      </c>
      <c r="AK73" s="80">
        <v>2230</v>
      </c>
      <c r="AL73" s="101">
        <v>2000</v>
      </c>
      <c r="AM73" s="93">
        <v>2100.3312120000001</v>
      </c>
    </row>
    <row r="74" spans="1:40" x14ac:dyDescent="0.2">
      <c r="A74" s="64">
        <v>70</v>
      </c>
      <c r="B74" s="106" t="s">
        <v>102</v>
      </c>
      <c r="C74" s="58" t="s">
        <v>83</v>
      </c>
      <c r="D74" s="52">
        <f t="shared" si="27"/>
        <v>142.5</v>
      </c>
      <c r="E74" s="57">
        <f t="shared" si="28"/>
        <v>2137.5</v>
      </c>
      <c r="F74" s="52">
        <v>0</v>
      </c>
      <c r="G74" s="52">
        <v>0</v>
      </c>
      <c r="H74" s="52">
        <v>0</v>
      </c>
      <c r="I74" s="52">
        <v>0</v>
      </c>
      <c r="J74" s="52"/>
      <c r="K74" s="52">
        <v>0</v>
      </c>
      <c r="L74" s="46">
        <f t="shared" si="25"/>
        <v>2137.5</v>
      </c>
      <c r="M74" s="53"/>
      <c r="N74" s="45">
        <f>G74+M74+AB74</f>
        <v>0</v>
      </c>
      <c r="O74" s="45">
        <f t="shared" si="29"/>
        <v>2137.5</v>
      </c>
      <c r="P74" s="77">
        <v>285.45999999999998</v>
      </c>
      <c r="Q74" s="45">
        <f t="shared" si="30"/>
        <v>1852.04</v>
      </c>
      <c r="R74" s="77">
        <v>6.4000000000000001E-2</v>
      </c>
      <c r="S74" s="45">
        <f t="shared" si="31"/>
        <v>118.53055999999999</v>
      </c>
      <c r="T74" s="77">
        <v>5.55</v>
      </c>
      <c r="U74" s="45">
        <f t="shared" si="32"/>
        <v>124.08055999999999</v>
      </c>
      <c r="V74" s="45">
        <f t="shared" si="20"/>
        <v>0</v>
      </c>
      <c r="W74" s="45">
        <f t="shared" si="26"/>
        <v>124.08055999999999</v>
      </c>
      <c r="X74" s="51">
        <f>Q74+W74+AP68</f>
        <v>1976.1205599999998</v>
      </c>
      <c r="Y74" s="74">
        <f t="shared" si="38"/>
        <v>0</v>
      </c>
      <c r="Z74" s="72">
        <f t="shared" si="33"/>
        <v>124.08055999999999</v>
      </c>
      <c r="AA74" s="72"/>
      <c r="AB74" s="72"/>
      <c r="AC74" s="72"/>
      <c r="AD74" s="72"/>
      <c r="AE74" s="72"/>
      <c r="AF74" s="92">
        <f t="shared" si="34"/>
        <v>124.08055999999999</v>
      </c>
      <c r="AG74" s="96">
        <f>(AH74*0.05)+AH74</f>
        <v>2114.090412</v>
      </c>
      <c r="AH74" s="147">
        <f t="shared" si="35"/>
        <v>2013.4194400000001</v>
      </c>
      <c r="AI74" s="125">
        <f t="shared" si="36"/>
        <v>4275</v>
      </c>
      <c r="AJ74" s="140">
        <f t="shared" si="37"/>
        <v>2201.625</v>
      </c>
      <c r="AK74" s="80">
        <v>2137.5</v>
      </c>
      <c r="AL74" s="101">
        <v>1750</v>
      </c>
      <c r="AM74" s="93">
        <v>2013.84</v>
      </c>
    </row>
    <row r="75" spans="1:40" x14ac:dyDescent="0.2">
      <c r="A75" s="48">
        <v>71</v>
      </c>
      <c r="B75" s="106" t="s">
        <v>101</v>
      </c>
      <c r="C75" s="58" t="s">
        <v>83</v>
      </c>
      <c r="D75" s="52">
        <f t="shared" si="27"/>
        <v>152.06666666666666</v>
      </c>
      <c r="E75" s="57">
        <f t="shared" si="28"/>
        <v>2281</v>
      </c>
      <c r="F75" s="52">
        <v>0</v>
      </c>
      <c r="G75" s="52">
        <v>0</v>
      </c>
      <c r="H75" s="52">
        <v>0</v>
      </c>
      <c r="I75" s="52">
        <v>0</v>
      </c>
      <c r="J75" s="52"/>
      <c r="K75" s="52">
        <v>0</v>
      </c>
      <c r="L75" s="46">
        <f t="shared" si="25"/>
        <v>2281</v>
      </c>
      <c r="M75" s="53"/>
      <c r="N75" s="45">
        <f>IF(D75=47.16,0,IF(D75&gt;47.16,I75*0.5,0))</f>
        <v>0</v>
      </c>
      <c r="O75" s="45">
        <f t="shared" si="29"/>
        <v>2281</v>
      </c>
      <c r="P75" s="77">
        <v>285.45999999999998</v>
      </c>
      <c r="Q75" s="45">
        <f t="shared" si="30"/>
        <v>1995.54</v>
      </c>
      <c r="R75" s="77">
        <v>6.4000000000000001E-2</v>
      </c>
      <c r="S75" s="45">
        <f t="shared" si="31"/>
        <v>127.71456000000001</v>
      </c>
      <c r="T75" s="77">
        <v>5.55</v>
      </c>
      <c r="U75" s="45">
        <f t="shared" si="32"/>
        <v>133.26456000000002</v>
      </c>
      <c r="V75" s="45">
        <f>VLOOKUP(O75,Credito1,2)</f>
        <v>0</v>
      </c>
      <c r="W75" s="45">
        <f t="shared" si="26"/>
        <v>133.26456000000002</v>
      </c>
      <c r="X75" s="51"/>
      <c r="Y75" s="74">
        <f t="shared" si="38"/>
        <v>0</v>
      </c>
      <c r="Z75" s="72">
        <f t="shared" si="33"/>
        <v>133.26456000000002</v>
      </c>
      <c r="AA75" s="72"/>
      <c r="AB75" s="72">
        <v>0</v>
      </c>
      <c r="AC75" s="72"/>
      <c r="AD75" s="72"/>
      <c r="AE75" s="72"/>
      <c r="AF75" s="92">
        <f t="shared" si="34"/>
        <v>133.26456000000002</v>
      </c>
      <c r="AG75" s="96">
        <f>(AH75*0.05)+AH75</f>
        <v>2255.1222119999998</v>
      </c>
      <c r="AH75" s="147">
        <f t="shared" si="35"/>
        <v>2147.7354399999999</v>
      </c>
      <c r="AI75" s="125">
        <f t="shared" si="36"/>
        <v>4562</v>
      </c>
      <c r="AJ75" s="140">
        <f>(AK75*0.05)+AK75</f>
        <v>2395.0500000000002</v>
      </c>
      <c r="AK75" s="80">
        <v>2281</v>
      </c>
      <c r="AL75" s="101">
        <v>2045</v>
      </c>
      <c r="AM75" s="93">
        <v>2147.5056119999999</v>
      </c>
    </row>
    <row r="76" spans="1:40" ht="33.75" x14ac:dyDescent="0.2">
      <c r="A76" s="64">
        <v>72</v>
      </c>
      <c r="B76" s="106" t="s">
        <v>97</v>
      </c>
      <c r="C76" s="60" t="s">
        <v>98</v>
      </c>
      <c r="D76" s="52">
        <f t="shared" si="27"/>
        <v>112.2</v>
      </c>
      <c r="E76" s="57">
        <f t="shared" si="28"/>
        <v>1683</v>
      </c>
      <c r="F76" s="52">
        <v>0</v>
      </c>
      <c r="G76" s="52">
        <v>0</v>
      </c>
      <c r="H76" s="52">
        <v>0</v>
      </c>
      <c r="I76" s="52">
        <v>0</v>
      </c>
      <c r="J76" s="52"/>
      <c r="K76" s="52">
        <v>0</v>
      </c>
      <c r="L76" s="46">
        <f t="shared" si="25"/>
        <v>1683</v>
      </c>
      <c r="M76" s="53"/>
      <c r="N76" s="45">
        <f>IF(D76=47.16,0,IF(D76&gt;47.16,I76*0.5,0))</f>
        <v>0</v>
      </c>
      <c r="O76" s="45">
        <f t="shared" si="29"/>
        <v>1683</v>
      </c>
      <c r="P76" s="77">
        <v>285.45999999999998</v>
      </c>
      <c r="Q76" s="45">
        <f t="shared" si="30"/>
        <v>1397.54</v>
      </c>
      <c r="R76" s="77">
        <v>6.4000000000000001E-2</v>
      </c>
      <c r="S76" s="45">
        <f t="shared" si="31"/>
        <v>89.44256</v>
      </c>
      <c r="T76" s="77">
        <v>5.55</v>
      </c>
      <c r="U76" s="45">
        <f t="shared" si="32"/>
        <v>94.992559999999997</v>
      </c>
      <c r="V76" s="45">
        <f>VLOOKUP(O76,Credito1,2)</f>
        <v>62.55</v>
      </c>
      <c r="W76" s="45">
        <f t="shared" si="26"/>
        <v>32.44256</v>
      </c>
      <c r="X76" s="51"/>
      <c r="Y76" s="74">
        <f t="shared" si="38"/>
        <v>0</v>
      </c>
      <c r="Z76" s="72">
        <f t="shared" si="33"/>
        <v>32.44256</v>
      </c>
      <c r="AA76" s="72"/>
      <c r="AB76" s="72"/>
      <c r="AC76" s="72"/>
      <c r="AD76" s="72"/>
      <c r="AE76" s="72"/>
      <c r="AF76" s="92">
        <f t="shared" si="34"/>
        <v>32.44256</v>
      </c>
      <c r="AG76" s="96">
        <f>(AH76*0.03)+AH76</f>
        <v>1700.0741631999999</v>
      </c>
      <c r="AH76" s="147">
        <f t="shared" si="35"/>
        <v>1650.55744</v>
      </c>
      <c r="AI76" s="125">
        <f t="shared" si="36"/>
        <v>3366</v>
      </c>
      <c r="AJ76" s="140">
        <f t="shared" si="37"/>
        <v>1733.49</v>
      </c>
      <c r="AK76" s="80">
        <v>1683</v>
      </c>
      <c r="AL76" s="101">
        <v>1600</v>
      </c>
      <c r="AM76" s="93">
        <v>1648.4958832</v>
      </c>
    </row>
    <row r="77" spans="1:40" ht="22.5" x14ac:dyDescent="0.2">
      <c r="A77" s="64">
        <v>73</v>
      </c>
      <c r="B77" s="106" t="s">
        <v>213</v>
      </c>
      <c r="C77" s="60" t="s">
        <v>112</v>
      </c>
      <c r="D77" s="52">
        <f t="shared" si="27"/>
        <v>145.86666666666667</v>
      </c>
      <c r="E77" s="57">
        <f t="shared" si="28"/>
        <v>2188</v>
      </c>
      <c r="F77" s="52">
        <v>0</v>
      </c>
      <c r="G77" s="52">
        <v>0</v>
      </c>
      <c r="H77" s="52">
        <v>0</v>
      </c>
      <c r="I77" s="52">
        <v>0</v>
      </c>
      <c r="J77" s="52"/>
      <c r="K77" s="52">
        <v>0</v>
      </c>
      <c r="L77" s="46">
        <f t="shared" si="25"/>
        <v>2188</v>
      </c>
      <c r="M77" s="53"/>
      <c r="N77" s="45">
        <f>IF(D77=47.16,0,IF(D77&gt;47.16,I77*0.5,0))</f>
        <v>0</v>
      </c>
      <c r="O77" s="45">
        <f t="shared" si="29"/>
        <v>2188</v>
      </c>
      <c r="P77" s="77">
        <v>285.45999999999998</v>
      </c>
      <c r="Q77" s="45">
        <f t="shared" si="30"/>
        <v>1902.54</v>
      </c>
      <c r="R77" s="77">
        <v>6.4000000000000001E-2</v>
      </c>
      <c r="S77" s="45">
        <f t="shared" si="31"/>
        <v>121.76255999999999</v>
      </c>
      <c r="T77" s="77">
        <v>5.55</v>
      </c>
      <c r="U77" s="45">
        <f t="shared" si="32"/>
        <v>127.31255999999999</v>
      </c>
      <c r="V77" s="45">
        <f>VLOOKUP(O77,Credito1,2)</f>
        <v>0</v>
      </c>
      <c r="W77" s="45">
        <f t="shared" si="26"/>
        <v>127.31255999999999</v>
      </c>
      <c r="X77" s="51"/>
      <c r="Y77" s="74">
        <f t="shared" si="38"/>
        <v>0</v>
      </c>
      <c r="Z77" s="72">
        <f t="shared" si="33"/>
        <v>127.31255999999999</v>
      </c>
      <c r="AA77" s="72"/>
      <c r="AB77" s="72"/>
      <c r="AC77" s="72"/>
      <c r="AD77" s="72"/>
      <c r="AE77" s="72"/>
      <c r="AF77" s="92">
        <f t="shared" si="34"/>
        <v>127.31255999999999</v>
      </c>
      <c r="AG77" s="96">
        <f t="shared" ref="AG77:AG81" si="39">(AH77*0.03)+AH77</f>
        <v>2122.5080631999999</v>
      </c>
      <c r="AH77" s="147">
        <f t="shared" si="35"/>
        <v>2060.6874400000002</v>
      </c>
      <c r="AI77" s="125">
        <f t="shared" si="36"/>
        <v>4376</v>
      </c>
      <c r="AJ77" s="140">
        <f t="shared" si="37"/>
        <v>2253.64</v>
      </c>
      <c r="AK77" s="80">
        <v>2188</v>
      </c>
      <c r="AL77" s="101">
        <v>2000</v>
      </c>
      <c r="AM77" s="93">
        <v>2060.3249031999999</v>
      </c>
    </row>
    <row r="78" spans="1:40" ht="33.75" x14ac:dyDescent="0.2">
      <c r="A78" s="48">
        <v>74</v>
      </c>
      <c r="B78" s="106" t="s">
        <v>208</v>
      </c>
      <c r="C78" s="60" t="s">
        <v>94</v>
      </c>
      <c r="D78" s="52">
        <f t="shared" si="27"/>
        <v>112.2</v>
      </c>
      <c r="E78" s="57">
        <f t="shared" si="28"/>
        <v>1683</v>
      </c>
      <c r="F78" s="52">
        <v>0</v>
      </c>
      <c r="G78" s="52">
        <v>0</v>
      </c>
      <c r="H78" s="52">
        <v>0</v>
      </c>
      <c r="I78" s="52">
        <v>0</v>
      </c>
      <c r="J78" s="52"/>
      <c r="K78" s="52">
        <v>0</v>
      </c>
      <c r="L78" s="46">
        <f t="shared" si="25"/>
        <v>1683</v>
      </c>
      <c r="M78" s="53"/>
      <c r="N78" s="45">
        <f>IF(D78=47.16,0,IF(D78&gt;47.16,I78*0.5,0))</f>
        <v>0</v>
      </c>
      <c r="O78" s="45">
        <f t="shared" si="29"/>
        <v>1683</v>
      </c>
      <c r="P78" s="77">
        <v>285.45999999999998</v>
      </c>
      <c r="Q78" s="45">
        <f t="shared" si="30"/>
        <v>1397.54</v>
      </c>
      <c r="R78" s="77">
        <v>6.4000000000000001E-2</v>
      </c>
      <c r="S78" s="45">
        <f t="shared" si="31"/>
        <v>89.44256</v>
      </c>
      <c r="T78" s="77">
        <v>5.55</v>
      </c>
      <c r="U78" s="45">
        <f t="shared" si="32"/>
        <v>94.992559999999997</v>
      </c>
      <c r="V78" s="45">
        <f>VLOOKUP(O78,Credito1,2)</f>
        <v>62.55</v>
      </c>
      <c r="W78" s="45">
        <f t="shared" si="26"/>
        <v>32.44256</v>
      </c>
      <c r="X78" s="51"/>
      <c r="Y78" s="74">
        <f t="shared" si="38"/>
        <v>0</v>
      </c>
      <c r="Z78" s="72">
        <f t="shared" si="33"/>
        <v>32.44256</v>
      </c>
      <c r="AA78" s="72"/>
      <c r="AB78" s="72"/>
      <c r="AC78" s="72"/>
      <c r="AD78" s="72"/>
      <c r="AE78" s="72"/>
      <c r="AF78" s="92">
        <f t="shared" si="34"/>
        <v>32.44256</v>
      </c>
      <c r="AG78" s="96">
        <f t="shared" si="39"/>
        <v>1700.0741631999999</v>
      </c>
      <c r="AH78" s="147">
        <f t="shared" si="35"/>
        <v>1650.55744</v>
      </c>
      <c r="AI78" s="125">
        <f t="shared" si="36"/>
        <v>3366</v>
      </c>
      <c r="AJ78" s="140">
        <f t="shared" si="37"/>
        <v>1733.49</v>
      </c>
      <c r="AK78" s="80">
        <v>1683</v>
      </c>
      <c r="AL78" s="101">
        <v>800</v>
      </c>
      <c r="AM78" s="93">
        <v>824.0962432</v>
      </c>
    </row>
    <row r="79" spans="1:40" ht="22.5" x14ac:dyDescent="0.2">
      <c r="A79" s="64">
        <v>75</v>
      </c>
      <c r="B79" s="106" t="s">
        <v>229</v>
      </c>
      <c r="C79" s="60" t="s">
        <v>96</v>
      </c>
      <c r="D79" s="52">
        <f t="shared" si="27"/>
        <v>0</v>
      </c>
      <c r="E79" s="57">
        <f t="shared" si="28"/>
        <v>0</v>
      </c>
      <c r="F79" s="52">
        <v>0</v>
      </c>
      <c r="G79" s="52">
        <v>0</v>
      </c>
      <c r="H79" s="52">
        <v>0</v>
      </c>
      <c r="I79" s="52">
        <v>0</v>
      </c>
      <c r="J79" s="52"/>
      <c r="K79" s="52">
        <v>0</v>
      </c>
      <c r="L79" s="46" t="e">
        <f t="shared" si="25"/>
        <v>#N/A</v>
      </c>
      <c r="M79" s="53"/>
      <c r="N79" s="45">
        <f>IF(D79=47.16,0,IF(D79&gt;47.16,I79*0.5,0))</f>
        <v>0</v>
      </c>
      <c r="O79" s="45">
        <f t="shared" si="29"/>
        <v>0</v>
      </c>
      <c r="P79" s="77" t="e">
        <f t="shared" ref="P79:P80" si="40">VLOOKUP(O79,Tarifa1,1)</f>
        <v>#N/A</v>
      </c>
      <c r="Q79" s="45" t="e">
        <f t="shared" si="30"/>
        <v>#N/A</v>
      </c>
      <c r="R79" s="77" t="e">
        <f>VLOOKUP(O79,Tarifa1,3)</f>
        <v>#N/A</v>
      </c>
      <c r="S79" s="45" t="e">
        <f t="shared" si="31"/>
        <v>#N/A</v>
      </c>
      <c r="T79" s="77" t="e">
        <f>VLOOKUP(O79,Tarifa1,2)</f>
        <v>#N/A</v>
      </c>
      <c r="U79" s="45" t="e">
        <f t="shared" si="32"/>
        <v>#N/A</v>
      </c>
      <c r="V79" s="45" t="e">
        <f>VLOOKUP(O79,Credito1,2)</f>
        <v>#N/A</v>
      </c>
      <c r="W79" s="45" t="e">
        <f t="shared" si="26"/>
        <v>#N/A</v>
      </c>
      <c r="X79" s="51"/>
      <c r="Y79" s="74" t="e">
        <f t="shared" si="38"/>
        <v>#N/A</v>
      </c>
      <c r="Z79" s="72" t="e">
        <f t="shared" si="33"/>
        <v>#N/A</v>
      </c>
      <c r="AA79" s="72"/>
      <c r="AB79" s="72"/>
      <c r="AC79" s="72"/>
      <c r="AD79" s="72"/>
      <c r="AE79" s="72"/>
      <c r="AF79" s="92" t="e">
        <f t="shared" si="34"/>
        <v>#N/A</v>
      </c>
      <c r="AG79" s="96" t="e">
        <f t="shared" si="39"/>
        <v>#N/A</v>
      </c>
      <c r="AH79" s="147" t="e">
        <f t="shared" si="35"/>
        <v>#N/A</v>
      </c>
      <c r="AI79" s="125">
        <f t="shared" si="36"/>
        <v>0</v>
      </c>
      <c r="AJ79" s="140">
        <f t="shared" si="37"/>
        <v>0</v>
      </c>
      <c r="AK79" s="80"/>
      <c r="AM79" s="93" t="e">
        <v>#N/A</v>
      </c>
    </row>
    <row r="80" spans="1:40" x14ac:dyDescent="0.2">
      <c r="A80" s="64">
        <v>76</v>
      </c>
      <c r="C80" s="59"/>
      <c r="D80" s="52">
        <f t="shared" si="27"/>
        <v>0</v>
      </c>
      <c r="E80" s="57">
        <f t="shared" si="28"/>
        <v>0</v>
      </c>
      <c r="F80" s="52">
        <v>0</v>
      </c>
      <c r="G80" s="52">
        <v>0</v>
      </c>
      <c r="J80" s="52"/>
      <c r="K80" s="52">
        <v>0</v>
      </c>
      <c r="L80" s="46" t="e">
        <f t="shared" si="25"/>
        <v>#N/A</v>
      </c>
      <c r="O80" s="45">
        <f t="shared" si="29"/>
        <v>0</v>
      </c>
      <c r="P80" s="77" t="e">
        <f t="shared" si="40"/>
        <v>#N/A</v>
      </c>
      <c r="Q80" s="45" t="e">
        <f t="shared" si="30"/>
        <v>#N/A</v>
      </c>
      <c r="S80" s="45" t="e">
        <f t="shared" si="31"/>
        <v>#N/A</v>
      </c>
      <c r="U80" s="45" t="e">
        <f t="shared" si="32"/>
        <v>#N/A</v>
      </c>
      <c r="W80" s="45" t="e">
        <f t="shared" si="26"/>
        <v>#N/A</v>
      </c>
      <c r="Y80" s="74" t="e">
        <f t="shared" si="38"/>
        <v>#N/A</v>
      </c>
      <c r="Z80" s="72" t="e">
        <f t="shared" si="33"/>
        <v>#N/A</v>
      </c>
      <c r="AF80" s="92" t="e">
        <f t="shared" si="34"/>
        <v>#N/A</v>
      </c>
      <c r="AG80" s="96" t="e">
        <f t="shared" si="39"/>
        <v>#N/A</v>
      </c>
      <c r="AH80" s="147" t="e">
        <f t="shared" si="35"/>
        <v>#N/A</v>
      </c>
      <c r="AI80" s="125">
        <f t="shared" si="36"/>
        <v>0</v>
      </c>
      <c r="AJ80" s="140">
        <f t="shared" si="37"/>
        <v>0</v>
      </c>
      <c r="AK80" s="80"/>
      <c r="AM80" s="93">
        <v>0</v>
      </c>
    </row>
    <row r="81" spans="1:39" x14ac:dyDescent="0.2">
      <c r="A81" s="48">
        <v>77</v>
      </c>
      <c r="C81" s="59"/>
      <c r="D81" s="52">
        <f t="shared" si="27"/>
        <v>0</v>
      </c>
      <c r="E81" s="57">
        <f t="shared" si="28"/>
        <v>0</v>
      </c>
      <c r="F81" s="52">
        <v>0</v>
      </c>
      <c r="G81" s="52">
        <v>0</v>
      </c>
      <c r="J81" s="52"/>
      <c r="K81" s="52">
        <v>0</v>
      </c>
      <c r="L81" s="46">
        <f t="shared" si="25"/>
        <v>0</v>
      </c>
      <c r="O81" s="45">
        <f t="shared" si="29"/>
        <v>0</v>
      </c>
      <c r="Q81" s="45">
        <f t="shared" si="30"/>
        <v>0</v>
      </c>
      <c r="S81" s="45">
        <f t="shared" si="31"/>
        <v>0</v>
      </c>
      <c r="U81" s="45">
        <f t="shared" si="32"/>
        <v>0</v>
      </c>
      <c r="W81" s="45">
        <f t="shared" si="26"/>
        <v>0</v>
      </c>
      <c r="Z81" s="72">
        <f t="shared" si="33"/>
        <v>0</v>
      </c>
      <c r="AF81" s="92">
        <f t="shared" si="34"/>
        <v>0</v>
      </c>
      <c r="AG81" s="96">
        <f t="shared" si="39"/>
        <v>0</v>
      </c>
      <c r="AH81" s="147">
        <f t="shared" si="35"/>
        <v>0</v>
      </c>
      <c r="AI81" s="125">
        <f t="shared" si="36"/>
        <v>0</v>
      </c>
      <c r="AJ81" s="140">
        <f t="shared" si="37"/>
        <v>0</v>
      </c>
      <c r="AM81" s="93">
        <v>0</v>
      </c>
    </row>
    <row r="82" spans="1:39" x14ac:dyDescent="0.2">
      <c r="A82" s="64">
        <v>78</v>
      </c>
      <c r="C82" s="59"/>
      <c r="D82" s="52">
        <f t="shared" si="27"/>
        <v>0</v>
      </c>
      <c r="E82" s="57">
        <f t="shared" si="28"/>
        <v>0</v>
      </c>
      <c r="F82" s="52">
        <v>0</v>
      </c>
      <c r="G82" s="52">
        <v>0</v>
      </c>
      <c r="J82" s="52"/>
      <c r="K82" s="52">
        <v>0</v>
      </c>
      <c r="L82" s="46">
        <f t="shared" si="25"/>
        <v>0</v>
      </c>
      <c r="U82" s="45">
        <f t="shared" si="32"/>
        <v>0</v>
      </c>
      <c r="W82" s="45">
        <f t="shared" si="26"/>
        <v>0</v>
      </c>
      <c r="Z82" s="72">
        <f t="shared" si="33"/>
        <v>0</v>
      </c>
      <c r="AF82" s="92">
        <f t="shared" si="34"/>
        <v>0</v>
      </c>
      <c r="AH82" s="147">
        <f t="shared" si="35"/>
        <v>0</v>
      </c>
      <c r="AI82" s="125">
        <f t="shared" si="36"/>
        <v>0</v>
      </c>
      <c r="AJ82" s="140">
        <f t="shared" si="37"/>
        <v>0</v>
      </c>
    </row>
    <row r="83" spans="1:39" x14ac:dyDescent="0.2">
      <c r="A83" s="64">
        <v>79</v>
      </c>
      <c r="C83" s="59"/>
      <c r="D83" s="52">
        <f t="shared" si="27"/>
        <v>0</v>
      </c>
      <c r="E83" s="57">
        <f t="shared" si="28"/>
        <v>0</v>
      </c>
      <c r="F83" s="52">
        <v>0</v>
      </c>
      <c r="G83" s="52">
        <v>0</v>
      </c>
      <c r="J83" s="52"/>
      <c r="K83" s="52">
        <v>0</v>
      </c>
      <c r="L83" s="46">
        <f t="shared" si="25"/>
        <v>0</v>
      </c>
      <c r="U83" s="45">
        <f t="shared" si="32"/>
        <v>0</v>
      </c>
      <c r="W83" s="45">
        <f t="shared" si="26"/>
        <v>0</v>
      </c>
      <c r="Z83" s="72">
        <f t="shared" si="33"/>
        <v>0</v>
      </c>
      <c r="AF83" s="92">
        <f t="shared" si="34"/>
        <v>0</v>
      </c>
      <c r="AH83" s="147">
        <f t="shared" si="35"/>
        <v>0</v>
      </c>
      <c r="AI83" s="125">
        <f t="shared" si="36"/>
        <v>0</v>
      </c>
      <c r="AJ83" s="140">
        <f t="shared" si="37"/>
        <v>0</v>
      </c>
    </row>
    <row r="84" spans="1:39" x14ac:dyDescent="0.2">
      <c r="E84" s="57">
        <f t="shared" si="28"/>
        <v>0</v>
      </c>
      <c r="K84" s="52">
        <v>0</v>
      </c>
      <c r="L84" s="46">
        <f t="shared" si="25"/>
        <v>0</v>
      </c>
      <c r="U84" s="45">
        <f t="shared" si="32"/>
        <v>0</v>
      </c>
      <c r="W84" s="45">
        <f t="shared" si="26"/>
        <v>0</v>
      </c>
      <c r="Z84" s="72">
        <f t="shared" si="33"/>
        <v>0</v>
      </c>
      <c r="AF84" s="92">
        <f t="shared" si="34"/>
        <v>0</v>
      </c>
      <c r="AH84" s="147">
        <f t="shared" si="35"/>
        <v>0</v>
      </c>
      <c r="AI84" s="125">
        <f t="shared" si="36"/>
        <v>0</v>
      </c>
      <c r="AJ84" s="140">
        <f t="shared" si="37"/>
        <v>0</v>
      </c>
    </row>
    <row r="85" spans="1:39" x14ac:dyDescent="0.2">
      <c r="E85" s="57">
        <f t="shared" si="28"/>
        <v>0</v>
      </c>
      <c r="K85" s="52">
        <v>0</v>
      </c>
      <c r="L85" s="46">
        <f t="shared" si="25"/>
        <v>0</v>
      </c>
      <c r="U85" s="45">
        <f t="shared" si="32"/>
        <v>0</v>
      </c>
      <c r="W85" s="45">
        <f t="shared" si="26"/>
        <v>0</v>
      </c>
      <c r="Z85" s="72">
        <f t="shared" si="33"/>
        <v>0</v>
      </c>
      <c r="AF85" s="92">
        <f t="shared" si="34"/>
        <v>0</v>
      </c>
      <c r="AH85" s="147">
        <f t="shared" si="35"/>
        <v>0</v>
      </c>
      <c r="AI85" s="125">
        <f t="shared" si="36"/>
        <v>0</v>
      </c>
      <c r="AJ85" s="140">
        <f t="shared" si="37"/>
        <v>0</v>
      </c>
    </row>
    <row r="86" spans="1:39" x14ac:dyDescent="0.2">
      <c r="E86" s="57">
        <f t="shared" si="28"/>
        <v>0</v>
      </c>
      <c r="K86" s="52">
        <v>0</v>
      </c>
      <c r="L86" s="46">
        <f t="shared" si="25"/>
        <v>0</v>
      </c>
      <c r="U86" s="45">
        <f t="shared" si="32"/>
        <v>0</v>
      </c>
      <c r="W86" s="45">
        <f t="shared" si="26"/>
        <v>0</v>
      </c>
      <c r="Z86" s="72">
        <f t="shared" si="33"/>
        <v>0</v>
      </c>
      <c r="AF86" s="92">
        <f t="shared" si="34"/>
        <v>0</v>
      </c>
      <c r="AH86" s="147">
        <f t="shared" si="35"/>
        <v>0</v>
      </c>
      <c r="AI86" s="125">
        <f t="shared" si="36"/>
        <v>0</v>
      </c>
      <c r="AJ86" s="140">
        <f t="shared" si="37"/>
        <v>0</v>
      </c>
    </row>
    <row r="87" spans="1:39" x14ac:dyDescent="0.2">
      <c r="E87" s="57">
        <f t="shared" si="28"/>
        <v>0</v>
      </c>
      <c r="K87" s="52">
        <v>0</v>
      </c>
      <c r="L87" s="46">
        <f t="shared" si="25"/>
        <v>0</v>
      </c>
      <c r="U87" s="45">
        <f t="shared" si="32"/>
        <v>0</v>
      </c>
      <c r="W87" s="45">
        <f t="shared" si="26"/>
        <v>0</v>
      </c>
      <c r="Z87" s="72">
        <f t="shared" si="33"/>
        <v>0</v>
      </c>
      <c r="AF87" s="92">
        <f t="shared" si="34"/>
        <v>0</v>
      </c>
      <c r="AH87" s="147">
        <f t="shared" si="35"/>
        <v>0</v>
      </c>
      <c r="AI87" s="125">
        <f t="shared" si="36"/>
        <v>0</v>
      </c>
      <c r="AJ87" s="140">
        <f t="shared" si="37"/>
        <v>0</v>
      </c>
    </row>
    <row r="88" spans="1:39" x14ac:dyDescent="0.2">
      <c r="E88" s="57">
        <f t="shared" si="28"/>
        <v>0</v>
      </c>
      <c r="K88" s="52">
        <v>0</v>
      </c>
      <c r="U88" s="45">
        <f t="shared" si="32"/>
        <v>0</v>
      </c>
      <c r="W88" s="45">
        <f t="shared" si="26"/>
        <v>0</v>
      </c>
      <c r="Z88" s="72">
        <f t="shared" si="33"/>
        <v>0</v>
      </c>
      <c r="AF88" s="92">
        <f t="shared" si="34"/>
        <v>0</v>
      </c>
      <c r="AH88" s="147">
        <f t="shared" si="35"/>
        <v>0</v>
      </c>
      <c r="AI88" s="125">
        <f t="shared" si="36"/>
        <v>0</v>
      </c>
      <c r="AJ88" s="140">
        <f t="shared" si="37"/>
        <v>0</v>
      </c>
    </row>
    <row r="89" spans="1:39" x14ac:dyDescent="0.2">
      <c r="E89" s="57">
        <f t="shared" si="28"/>
        <v>0</v>
      </c>
      <c r="U89" s="45">
        <f t="shared" si="32"/>
        <v>0</v>
      </c>
      <c r="W89" s="45">
        <f t="shared" si="26"/>
        <v>0</v>
      </c>
      <c r="Z89" s="72">
        <f t="shared" si="33"/>
        <v>0</v>
      </c>
      <c r="AF89" s="92">
        <f t="shared" si="34"/>
        <v>0</v>
      </c>
      <c r="AH89" s="147">
        <f t="shared" si="35"/>
        <v>0</v>
      </c>
      <c r="AI89" s="125">
        <f t="shared" si="36"/>
        <v>0</v>
      </c>
      <c r="AJ89" s="140">
        <f t="shared" si="37"/>
        <v>0</v>
      </c>
    </row>
    <row r="90" spans="1:39" x14ac:dyDescent="0.2">
      <c r="E90" s="57">
        <f t="shared" si="28"/>
        <v>0</v>
      </c>
      <c r="U90" s="45">
        <f t="shared" si="32"/>
        <v>0</v>
      </c>
      <c r="Z90" s="72">
        <f t="shared" si="33"/>
        <v>0</v>
      </c>
      <c r="AF90" s="92">
        <f t="shared" si="34"/>
        <v>0</v>
      </c>
      <c r="AH90" s="147">
        <f t="shared" si="35"/>
        <v>0</v>
      </c>
      <c r="AI90" s="125">
        <f t="shared" si="36"/>
        <v>0</v>
      </c>
      <c r="AJ90" s="140">
        <f t="shared" si="37"/>
        <v>0</v>
      </c>
    </row>
    <row r="91" spans="1:39" x14ac:dyDescent="0.2">
      <c r="E91" s="57">
        <f t="shared" si="28"/>
        <v>0</v>
      </c>
      <c r="U91" s="45">
        <f t="shared" si="32"/>
        <v>0</v>
      </c>
      <c r="Z91" s="72">
        <f t="shared" si="33"/>
        <v>0</v>
      </c>
      <c r="AF91" s="92">
        <f t="shared" si="34"/>
        <v>0</v>
      </c>
      <c r="AH91" s="147">
        <f t="shared" si="35"/>
        <v>0</v>
      </c>
      <c r="AI91" s="125">
        <f t="shared" si="36"/>
        <v>0</v>
      </c>
      <c r="AJ91" s="140">
        <f t="shared" si="37"/>
        <v>0</v>
      </c>
    </row>
    <row r="92" spans="1:39" x14ac:dyDescent="0.2">
      <c r="E92" s="57">
        <f t="shared" si="28"/>
        <v>0</v>
      </c>
      <c r="U92" s="45">
        <f t="shared" si="32"/>
        <v>0</v>
      </c>
      <c r="Z92" s="72">
        <f t="shared" si="33"/>
        <v>0</v>
      </c>
      <c r="AF92" s="92">
        <f t="shared" si="34"/>
        <v>0</v>
      </c>
      <c r="AH92" s="147">
        <f t="shared" si="35"/>
        <v>0</v>
      </c>
      <c r="AI92" s="125">
        <f t="shared" si="36"/>
        <v>0</v>
      </c>
      <c r="AJ92" s="140">
        <f t="shared" si="37"/>
        <v>0</v>
      </c>
    </row>
    <row r="93" spans="1:39" x14ac:dyDescent="0.2">
      <c r="E93" s="57">
        <f t="shared" si="28"/>
        <v>0</v>
      </c>
      <c r="U93" s="45">
        <f t="shared" si="32"/>
        <v>0</v>
      </c>
      <c r="Z93" s="72">
        <f t="shared" si="33"/>
        <v>0</v>
      </c>
      <c r="AF93" s="92">
        <f t="shared" si="34"/>
        <v>0</v>
      </c>
      <c r="AH93" s="147">
        <f t="shared" si="35"/>
        <v>0</v>
      </c>
      <c r="AI93" s="125">
        <f t="shared" si="36"/>
        <v>0</v>
      </c>
      <c r="AJ93" s="140">
        <f t="shared" si="37"/>
        <v>0</v>
      </c>
    </row>
    <row r="94" spans="1:39" x14ac:dyDescent="0.2">
      <c r="E94" s="57">
        <f t="shared" si="28"/>
        <v>0</v>
      </c>
      <c r="U94" s="45">
        <f t="shared" si="32"/>
        <v>0</v>
      </c>
      <c r="Z94" s="72">
        <f t="shared" si="33"/>
        <v>0</v>
      </c>
      <c r="AF94" s="92">
        <f t="shared" si="34"/>
        <v>0</v>
      </c>
      <c r="AH94" s="147">
        <f t="shared" si="35"/>
        <v>0</v>
      </c>
      <c r="AI94" s="125">
        <f t="shared" si="36"/>
        <v>0</v>
      </c>
      <c r="AJ94" s="140">
        <f t="shared" si="37"/>
        <v>0</v>
      </c>
    </row>
    <row r="95" spans="1:39" x14ac:dyDescent="0.2">
      <c r="E95" s="57">
        <f t="shared" si="28"/>
        <v>0</v>
      </c>
      <c r="U95" s="45">
        <f t="shared" si="32"/>
        <v>0</v>
      </c>
      <c r="Z95" s="72">
        <f t="shared" si="33"/>
        <v>0</v>
      </c>
      <c r="AF95" s="92">
        <f t="shared" si="34"/>
        <v>0</v>
      </c>
      <c r="AH95" s="147">
        <f t="shared" si="35"/>
        <v>0</v>
      </c>
      <c r="AI95" s="125">
        <f t="shared" si="36"/>
        <v>0</v>
      </c>
      <c r="AJ95" s="140">
        <f t="shared" si="37"/>
        <v>0</v>
      </c>
    </row>
    <row r="96" spans="1:39" x14ac:dyDescent="0.2">
      <c r="E96" s="57">
        <f t="shared" si="28"/>
        <v>0</v>
      </c>
      <c r="U96" s="45">
        <f t="shared" si="32"/>
        <v>0</v>
      </c>
      <c r="AF96" s="92">
        <f t="shared" si="34"/>
        <v>0</v>
      </c>
      <c r="AH96" s="147">
        <f t="shared" si="35"/>
        <v>0</v>
      </c>
      <c r="AI96" s="125">
        <f t="shared" si="36"/>
        <v>0</v>
      </c>
      <c r="AJ96" s="140">
        <f t="shared" si="37"/>
        <v>0</v>
      </c>
    </row>
    <row r="97" spans="5:36" x14ac:dyDescent="0.2">
      <c r="E97" s="57">
        <f t="shared" si="28"/>
        <v>0</v>
      </c>
      <c r="U97" s="45">
        <f t="shared" si="32"/>
        <v>0</v>
      </c>
      <c r="AF97" s="92">
        <f t="shared" si="34"/>
        <v>0</v>
      </c>
      <c r="AH97" s="147">
        <f t="shared" si="35"/>
        <v>0</v>
      </c>
      <c r="AI97" s="125">
        <f t="shared" si="36"/>
        <v>0</v>
      </c>
      <c r="AJ97" s="140">
        <f t="shared" si="37"/>
        <v>0</v>
      </c>
    </row>
    <row r="98" spans="5:36" x14ac:dyDescent="0.2">
      <c r="E98" s="57">
        <f t="shared" si="28"/>
        <v>0</v>
      </c>
      <c r="U98" s="45">
        <f t="shared" si="32"/>
        <v>0</v>
      </c>
      <c r="AF98" s="92">
        <f t="shared" si="34"/>
        <v>0</v>
      </c>
      <c r="AH98" s="147">
        <f t="shared" si="35"/>
        <v>0</v>
      </c>
      <c r="AI98" s="125">
        <f t="shared" si="36"/>
        <v>0</v>
      </c>
      <c r="AJ98" s="140">
        <f t="shared" si="37"/>
        <v>0</v>
      </c>
    </row>
    <row r="99" spans="5:36" x14ac:dyDescent="0.2">
      <c r="E99" s="57">
        <f t="shared" si="28"/>
        <v>0</v>
      </c>
      <c r="U99" s="45">
        <f t="shared" si="32"/>
        <v>0</v>
      </c>
      <c r="AF99" s="92">
        <f t="shared" si="34"/>
        <v>0</v>
      </c>
      <c r="AH99" s="147">
        <f t="shared" si="35"/>
        <v>0</v>
      </c>
      <c r="AI99" s="125">
        <f t="shared" si="36"/>
        <v>0</v>
      </c>
      <c r="AJ99" s="140">
        <f t="shared" si="37"/>
        <v>0</v>
      </c>
    </row>
    <row r="100" spans="5:36" x14ac:dyDescent="0.2">
      <c r="E100" s="57">
        <f t="shared" si="28"/>
        <v>0</v>
      </c>
      <c r="AF100" s="92">
        <f t="shared" si="34"/>
        <v>0</v>
      </c>
      <c r="AH100" s="147">
        <f t="shared" si="35"/>
        <v>0</v>
      </c>
      <c r="AI100" s="125">
        <f t="shared" si="36"/>
        <v>0</v>
      </c>
      <c r="AJ100" s="140">
        <f t="shared" si="37"/>
        <v>0</v>
      </c>
    </row>
    <row r="101" spans="5:36" x14ac:dyDescent="0.2">
      <c r="E101" s="57">
        <f t="shared" si="28"/>
        <v>0</v>
      </c>
      <c r="AF101" s="92">
        <f t="shared" si="34"/>
        <v>0</v>
      </c>
      <c r="AH101" s="147">
        <f t="shared" si="35"/>
        <v>0</v>
      </c>
      <c r="AI101" s="125">
        <f t="shared" si="36"/>
        <v>0</v>
      </c>
      <c r="AJ101" s="140">
        <f t="shared" si="37"/>
        <v>0</v>
      </c>
    </row>
    <row r="102" spans="5:36" x14ac:dyDescent="0.2">
      <c r="E102" s="57">
        <f t="shared" si="28"/>
        <v>0</v>
      </c>
      <c r="AI102" s="125">
        <f t="shared" si="36"/>
        <v>0</v>
      </c>
      <c r="AJ102" s="140">
        <f t="shared" si="37"/>
        <v>0</v>
      </c>
    </row>
    <row r="103" spans="5:36" x14ac:dyDescent="0.2">
      <c r="E103" s="57">
        <f t="shared" si="28"/>
        <v>0</v>
      </c>
      <c r="AI103" s="125">
        <f t="shared" si="36"/>
        <v>0</v>
      </c>
      <c r="AJ103" s="140">
        <f t="shared" si="37"/>
        <v>0</v>
      </c>
    </row>
    <row r="104" spans="5:36" x14ac:dyDescent="0.2">
      <c r="E104" s="57">
        <f t="shared" si="28"/>
        <v>0</v>
      </c>
      <c r="AI104" s="125">
        <f t="shared" si="36"/>
        <v>0</v>
      </c>
      <c r="AJ104" s="140">
        <f t="shared" si="37"/>
        <v>0</v>
      </c>
    </row>
    <row r="105" spans="5:36" x14ac:dyDescent="0.2">
      <c r="E105" s="57">
        <f t="shared" si="28"/>
        <v>0</v>
      </c>
      <c r="AI105" s="125">
        <f t="shared" si="36"/>
        <v>0</v>
      </c>
      <c r="AJ105" s="140">
        <f t="shared" si="37"/>
        <v>0</v>
      </c>
    </row>
    <row r="106" spans="5:36" x14ac:dyDescent="0.2">
      <c r="AI106" s="125">
        <f t="shared" si="36"/>
        <v>0</v>
      </c>
      <c r="AJ106" s="140">
        <f t="shared" si="37"/>
        <v>0</v>
      </c>
    </row>
    <row r="107" spans="5:36" x14ac:dyDescent="0.2">
      <c r="AI107" s="125">
        <f t="shared" si="36"/>
        <v>0</v>
      </c>
      <c r="AJ107" s="140">
        <f t="shared" si="37"/>
        <v>0</v>
      </c>
    </row>
    <row r="108" spans="5:36" x14ac:dyDescent="0.2">
      <c r="AI108" s="125">
        <f t="shared" si="36"/>
        <v>0</v>
      </c>
      <c r="AJ108" s="140">
        <f t="shared" si="37"/>
        <v>0</v>
      </c>
    </row>
    <row r="109" spans="5:36" x14ac:dyDescent="0.2">
      <c r="AJ109" s="140">
        <f t="shared" si="37"/>
        <v>0</v>
      </c>
    </row>
  </sheetData>
  <sortState ref="A2:Z91">
    <sortCondition descending="1" ref="E65"/>
  </sortState>
  <mergeCells count="9">
    <mergeCell ref="AM1:AM3"/>
    <mergeCell ref="E1:L1"/>
    <mergeCell ref="P1:U1"/>
    <mergeCell ref="Z1:AF1"/>
    <mergeCell ref="AK1:AK3"/>
    <mergeCell ref="AE2:AE3"/>
    <mergeCell ref="AA2:AA3"/>
    <mergeCell ref="AG1:AG3"/>
    <mergeCell ref="AI1:AI3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9"/>
  <sheetViews>
    <sheetView topLeftCell="F1" zoomScale="90" zoomScaleNormal="90" workbookViewId="0">
      <selection activeCell="B3" sqref="B3:AE3"/>
    </sheetView>
  </sheetViews>
  <sheetFormatPr baseColWidth="10" defaultRowHeight="12.75" x14ac:dyDescent="0.2"/>
  <cols>
    <col min="1" max="1" width="2.7109375" customWidth="1"/>
    <col min="2" max="2" width="3.85546875" customWidth="1"/>
    <col min="3" max="3" width="37.42578125" customWidth="1"/>
    <col min="4" max="4" width="16.140625" customWidth="1"/>
    <col min="5" max="5" width="11.85546875" customWidth="1"/>
    <col min="6" max="6" width="15.5703125" bestFit="1" customWidth="1"/>
    <col min="7" max="10" width="0" hidden="1" customWidth="1"/>
    <col min="11" max="11" width="0.140625" customWidth="1"/>
    <col min="12" max="12" width="12.28515625" customWidth="1"/>
    <col min="13" max="13" width="15.5703125" bestFit="1" customWidth="1"/>
    <col min="14" max="25" width="0" hidden="1" customWidth="1"/>
    <col min="26" max="26" width="12.7109375" customWidth="1"/>
    <col min="27" max="27" width="12.85546875" customWidth="1"/>
    <col min="28" max="28" width="0" hidden="1" customWidth="1"/>
    <col min="29" max="29" width="13" customWidth="1"/>
    <col min="30" max="30" width="15.140625" customWidth="1"/>
    <col min="31" max="31" width="14.5703125" customWidth="1"/>
    <col min="32" max="32" width="14.28515625" customWidth="1"/>
    <col min="33" max="33" width="14" customWidth="1"/>
    <col min="34" max="34" width="19.7109375" customWidth="1"/>
  </cols>
  <sheetData>
    <row r="1" spans="1:34" x14ac:dyDescent="0.2">
      <c r="A1" s="4"/>
      <c r="B1" s="4"/>
      <c r="C1" s="157"/>
      <c r="D1" s="3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34"/>
      <c r="AF1" s="403"/>
      <c r="AG1" s="4"/>
      <c r="AH1" s="4"/>
    </row>
    <row r="2" spans="1:34" ht="26.25" x14ac:dyDescent="0.4">
      <c r="A2" s="4"/>
      <c r="B2" s="582" t="s">
        <v>233</v>
      </c>
      <c r="C2" s="582"/>
      <c r="D2" s="582"/>
      <c r="E2" s="582"/>
      <c r="F2" s="582"/>
      <c r="G2" s="582"/>
      <c r="H2" s="582"/>
      <c r="I2" s="582"/>
      <c r="J2" s="582"/>
      <c r="K2" s="582"/>
      <c r="L2" s="582"/>
      <c r="M2" s="582"/>
      <c r="N2" s="582"/>
      <c r="O2" s="582"/>
      <c r="P2" s="582"/>
      <c r="Q2" s="582"/>
      <c r="R2" s="582"/>
      <c r="S2" s="582"/>
      <c r="T2" s="582"/>
      <c r="U2" s="582"/>
      <c r="V2" s="582"/>
      <c r="W2" s="582"/>
      <c r="X2" s="582"/>
      <c r="Y2" s="582"/>
      <c r="Z2" s="582"/>
      <c r="AA2" s="582"/>
      <c r="AB2" s="582"/>
      <c r="AC2" s="582"/>
      <c r="AD2" s="582"/>
      <c r="AE2" s="582"/>
      <c r="AF2" s="403"/>
      <c r="AG2" s="4"/>
      <c r="AH2" s="4"/>
    </row>
    <row r="3" spans="1:34" ht="19.5" thickBot="1" x14ac:dyDescent="0.25">
      <c r="A3" s="4"/>
      <c r="B3" s="557" t="s">
        <v>232</v>
      </c>
      <c r="C3" s="557"/>
      <c r="D3" s="557"/>
      <c r="E3" s="557"/>
      <c r="F3" s="557"/>
      <c r="G3" s="557"/>
      <c r="H3" s="557"/>
      <c r="I3" s="557"/>
      <c r="J3" s="557"/>
      <c r="K3" s="557"/>
      <c r="L3" s="557"/>
      <c r="M3" s="557"/>
      <c r="N3" s="557"/>
      <c r="O3" s="557"/>
      <c r="P3" s="557"/>
      <c r="Q3" s="557"/>
      <c r="R3" s="557"/>
      <c r="S3" s="557"/>
      <c r="T3" s="557"/>
      <c r="U3" s="557"/>
      <c r="V3" s="557"/>
      <c r="W3" s="557"/>
      <c r="X3" s="557"/>
      <c r="Y3" s="557"/>
      <c r="Z3" s="557"/>
      <c r="AA3" s="557"/>
      <c r="AB3" s="557"/>
      <c r="AC3" s="557"/>
      <c r="AD3" s="557"/>
      <c r="AE3" s="557"/>
      <c r="AF3" s="403"/>
      <c r="AG3" s="4"/>
      <c r="AH3" s="4"/>
    </row>
    <row r="4" spans="1:34" ht="15.6" customHeight="1" x14ac:dyDescent="0.25">
      <c r="A4" s="4"/>
      <c r="B4" s="639" t="s">
        <v>230</v>
      </c>
      <c r="C4" s="642" t="s">
        <v>12</v>
      </c>
      <c r="D4" s="645" t="s">
        <v>231</v>
      </c>
      <c r="E4" s="354" t="s">
        <v>2</v>
      </c>
      <c r="F4" s="648" t="s">
        <v>3</v>
      </c>
      <c r="G4" s="649"/>
      <c r="H4" s="649"/>
      <c r="I4" s="649"/>
      <c r="J4" s="649"/>
      <c r="K4" s="649"/>
      <c r="L4" s="649"/>
      <c r="M4" s="650"/>
      <c r="N4" s="355"/>
      <c r="O4" s="356" t="s">
        <v>4</v>
      </c>
      <c r="P4" s="357"/>
      <c r="Q4" s="651" t="s">
        <v>5</v>
      </c>
      <c r="R4" s="652"/>
      <c r="S4" s="652"/>
      <c r="T4" s="652"/>
      <c r="U4" s="652"/>
      <c r="V4" s="653"/>
      <c r="W4" s="356" t="s">
        <v>6</v>
      </c>
      <c r="X4" s="356" t="s">
        <v>7</v>
      </c>
      <c r="Y4" s="358"/>
      <c r="Z4" s="359" t="s">
        <v>8</v>
      </c>
      <c r="AA4" s="654" t="s">
        <v>9</v>
      </c>
      <c r="AB4" s="655"/>
      <c r="AC4" s="655"/>
      <c r="AD4" s="656"/>
      <c r="AE4" s="382" t="s">
        <v>10</v>
      </c>
      <c r="AF4" s="657" t="s">
        <v>251</v>
      </c>
      <c r="AG4" s="660" t="s">
        <v>35</v>
      </c>
      <c r="AH4" s="661"/>
    </row>
    <row r="5" spans="1:34" ht="14.45" customHeight="1" x14ac:dyDescent="0.25">
      <c r="A5" s="4"/>
      <c r="B5" s="640"/>
      <c r="C5" s="643"/>
      <c r="D5" s="646"/>
      <c r="E5" s="666" t="s">
        <v>14</v>
      </c>
      <c r="F5" s="339" t="s">
        <v>2</v>
      </c>
      <c r="G5" s="339" t="s">
        <v>15</v>
      </c>
      <c r="H5" s="339" t="s">
        <v>15</v>
      </c>
      <c r="I5" s="339" t="s">
        <v>16</v>
      </c>
      <c r="J5" s="339" t="s">
        <v>4</v>
      </c>
      <c r="K5" s="339" t="s">
        <v>17</v>
      </c>
      <c r="L5" s="339" t="s">
        <v>17</v>
      </c>
      <c r="M5" s="339" t="s">
        <v>18</v>
      </c>
      <c r="N5" s="25"/>
      <c r="O5" s="28" t="s">
        <v>19</v>
      </c>
      <c r="P5" s="26" t="s">
        <v>20</v>
      </c>
      <c r="Q5" s="26" t="s">
        <v>21</v>
      </c>
      <c r="R5" s="26" t="s">
        <v>22</v>
      </c>
      <c r="S5" s="26" t="s">
        <v>23</v>
      </c>
      <c r="T5" s="26" t="s">
        <v>24</v>
      </c>
      <c r="U5" s="26" t="s">
        <v>25</v>
      </c>
      <c r="V5" s="26" t="s">
        <v>7</v>
      </c>
      <c r="W5" s="28" t="s">
        <v>26</v>
      </c>
      <c r="X5" s="28" t="s">
        <v>27</v>
      </c>
      <c r="Y5" s="43"/>
      <c r="Z5" s="340" t="s">
        <v>28</v>
      </c>
      <c r="AA5" s="668" t="s">
        <v>7</v>
      </c>
      <c r="AB5" s="24" t="s">
        <v>30</v>
      </c>
      <c r="AC5" s="669" t="s">
        <v>181</v>
      </c>
      <c r="AD5" s="339" t="s">
        <v>33</v>
      </c>
      <c r="AE5" s="383" t="s">
        <v>34</v>
      </c>
      <c r="AF5" s="658"/>
      <c r="AG5" s="662"/>
      <c r="AH5" s="663"/>
    </row>
    <row r="6" spans="1:34" ht="15" customHeight="1" thickBot="1" x14ac:dyDescent="0.3">
      <c r="A6" s="4"/>
      <c r="B6" s="641"/>
      <c r="C6" s="644"/>
      <c r="D6" s="647"/>
      <c r="E6" s="667"/>
      <c r="F6" s="389" t="s">
        <v>36</v>
      </c>
      <c r="G6" s="389" t="s">
        <v>37</v>
      </c>
      <c r="H6" s="389" t="s">
        <v>38</v>
      </c>
      <c r="I6" s="389"/>
      <c r="J6" s="389" t="s">
        <v>19</v>
      </c>
      <c r="K6" s="389" t="s">
        <v>39</v>
      </c>
      <c r="L6" s="389" t="s">
        <v>40</v>
      </c>
      <c r="M6" s="389" t="s">
        <v>41</v>
      </c>
      <c r="N6" s="390"/>
      <c r="O6" s="391" t="s">
        <v>42</v>
      </c>
      <c r="P6" s="392" t="s">
        <v>43</v>
      </c>
      <c r="Q6" s="392" t="s">
        <v>44</v>
      </c>
      <c r="R6" s="392" t="s">
        <v>45</v>
      </c>
      <c r="S6" s="392" t="s">
        <v>45</v>
      </c>
      <c r="T6" s="392" t="s">
        <v>46</v>
      </c>
      <c r="U6" s="392" t="s">
        <v>47</v>
      </c>
      <c r="V6" s="392" t="s">
        <v>48</v>
      </c>
      <c r="W6" s="391" t="s">
        <v>49</v>
      </c>
      <c r="X6" s="393" t="s">
        <v>50</v>
      </c>
      <c r="Y6" s="394"/>
      <c r="Z6" s="389" t="s">
        <v>51</v>
      </c>
      <c r="AA6" s="667"/>
      <c r="AB6" s="395"/>
      <c r="AC6" s="670"/>
      <c r="AD6" s="389" t="s">
        <v>54</v>
      </c>
      <c r="AE6" s="396" t="s">
        <v>55</v>
      </c>
      <c r="AF6" s="659"/>
      <c r="AG6" s="664"/>
      <c r="AH6" s="665"/>
    </row>
    <row r="7" spans="1:34" ht="24" customHeight="1" x14ac:dyDescent="0.2">
      <c r="A7" s="154"/>
      <c r="B7" s="361">
        <v>1</v>
      </c>
      <c r="C7" s="342" t="s">
        <v>189</v>
      </c>
      <c r="D7" s="328" t="s">
        <v>57</v>
      </c>
      <c r="E7" s="329">
        <f t="shared" ref="E7:E16" si="0">F7/15.2</f>
        <v>849.375</v>
      </c>
      <c r="F7" s="330">
        <v>12910.5</v>
      </c>
      <c r="G7" s="329">
        <v>0</v>
      </c>
      <c r="H7" s="329">
        <f t="shared" ref="H7:H18" si="1">G7</f>
        <v>0</v>
      </c>
      <c r="I7" s="329">
        <v>0</v>
      </c>
      <c r="J7" s="329">
        <v>0</v>
      </c>
      <c r="K7" s="329">
        <v>0</v>
      </c>
      <c r="L7" s="329"/>
      <c r="M7" s="331">
        <f>F7+L7+Z7</f>
        <v>12910.5</v>
      </c>
      <c r="N7" s="331"/>
      <c r="O7" s="332">
        <f t="shared" ref="O7:O18" si="2">IF(E7=47.16,0,IF(E7&gt;47.16,J7*0.5,0))</f>
        <v>0</v>
      </c>
      <c r="P7" s="332">
        <f t="shared" ref="P7:P18" si="3">F7+G7+H7+K7+O7+I7</f>
        <v>12910.5</v>
      </c>
      <c r="Q7" s="332">
        <f t="shared" ref="Q7:Q18" si="4">VLOOKUP(P7,Tarifa1,1)</f>
        <v>9418.8799999999992</v>
      </c>
      <c r="R7" s="332">
        <f t="shared" ref="R7:R18" si="5">P7-Q7</f>
        <v>3491.6200000000008</v>
      </c>
      <c r="S7" s="332">
        <f t="shared" ref="S7:S18" si="6">VLOOKUP(P7,Tarifa1,3)</f>
        <v>0.3</v>
      </c>
      <c r="T7" s="332">
        <f t="shared" ref="T7:T18" si="7">R7*S7</f>
        <v>1047.4860000000001</v>
      </c>
      <c r="U7" s="332">
        <f t="shared" ref="U7:U18" si="8">VLOOKUP(P7,Tarifa1,2)</f>
        <v>1767.15</v>
      </c>
      <c r="V7" s="332">
        <f t="shared" ref="V7:V18" si="9">T7+U7</f>
        <v>2814.6360000000004</v>
      </c>
      <c r="W7" s="332">
        <f t="shared" ref="W7:W18" si="10">VLOOKUP(P7,Credito1,2)</f>
        <v>0</v>
      </c>
      <c r="X7" s="332">
        <f t="shared" ref="X7:X18" si="11">V7-W7</f>
        <v>2814.6360000000004</v>
      </c>
      <c r="Y7" s="330"/>
      <c r="Z7" s="331"/>
      <c r="AA7" s="331">
        <v>2140.2199999999998</v>
      </c>
      <c r="AB7" s="331"/>
      <c r="AC7" s="331"/>
      <c r="AD7" s="331">
        <f>AC7+AB7+AA7</f>
        <v>2140.2199999999998</v>
      </c>
      <c r="AE7" s="330">
        <f>M7-AA7</f>
        <v>10770.28</v>
      </c>
      <c r="AF7" s="399" t="s">
        <v>252</v>
      </c>
      <c r="AG7" s="150"/>
      <c r="AH7" s="150"/>
    </row>
    <row r="8" spans="1:34" ht="24" customHeight="1" x14ac:dyDescent="0.2">
      <c r="A8" s="154"/>
      <c r="B8" s="361">
        <v>2</v>
      </c>
      <c r="C8" s="342" t="s">
        <v>190</v>
      </c>
      <c r="D8" s="328" t="s">
        <v>57</v>
      </c>
      <c r="E8" s="329">
        <f t="shared" si="0"/>
        <v>849.375</v>
      </c>
      <c r="F8" s="330">
        <v>12910.5</v>
      </c>
      <c r="G8" s="329">
        <v>0</v>
      </c>
      <c r="H8" s="329">
        <f t="shared" si="1"/>
        <v>0</v>
      </c>
      <c r="I8" s="329">
        <v>0</v>
      </c>
      <c r="J8" s="329">
        <v>0</v>
      </c>
      <c r="K8" s="329">
        <v>0</v>
      </c>
      <c r="L8" s="329"/>
      <c r="M8" s="331">
        <f>F8+L8+Z8</f>
        <v>12910.5</v>
      </c>
      <c r="N8" s="331"/>
      <c r="O8" s="332">
        <f t="shared" si="2"/>
        <v>0</v>
      </c>
      <c r="P8" s="332">
        <f t="shared" si="3"/>
        <v>12910.5</v>
      </c>
      <c r="Q8" s="332">
        <f t="shared" si="4"/>
        <v>9418.8799999999992</v>
      </c>
      <c r="R8" s="332">
        <f t="shared" si="5"/>
        <v>3491.6200000000008</v>
      </c>
      <c r="S8" s="332">
        <f t="shared" si="6"/>
        <v>0.3</v>
      </c>
      <c r="T8" s="332">
        <f t="shared" si="7"/>
        <v>1047.4860000000001</v>
      </c>
      <c r="U8" s="332">
        <f t="shared" si="8"/>
        <v>1767.15</v>
      </c>
      <c r="V8" s="332">
        <f t="shared" si="9"/>
        <v>2814.6360000000004</v>
      </c>
      <c r="W8" s="332">
        <f t="shared" si="10"/>
        <v>0</v>
      </c>
      <c r="X8" s="332">
        <f t="shared" si="11"/>
        <v>2814.6360000000004</v>
      </c>
      <c r="Y8" s="330"/>
      <c r="Z8" s="331"/>
      <c r="AA8" s="331">
        <v>2140.2199999999998</v>
      </c>
      <c r="AB8" s="331"/>
      <c r="AC8" s="331"/>
      <c r="AD8" s="331">
        <f t="shared" ref="AD8:AD16" si="12">AC8+AB8+AA8</f>
        <v>2140.2199999999998</v>
      </c>
      <c r="AE8" s="330">
        <f t="shared" ref="AE8:AE16" si="13">M8-AA8</f>
        <v>10770.28</v>
      </c>
      <c r="AF8" s="399" t="s">
        <v>252</v>
      </c>
      <c r="AG8" s="155"/>
      <c r="AH8" s="155"/>
    </row>
    <row r="9" spans="1:34" ht="24" customHeight="1" x14ac:dyDescent="0.2">
      <c r="A9" s="154"/>
      <c r="B9" s="361">
        <v>3</v>
      </c>
      <c r="C9" s="342" t="s">
        <v>191</v>
      </c>
      <c r="D9" s="328" t="s">
        <v>57</v>
      </c>
      <c r="E9" s="329">
        <f>F9/15.2</f>
        <v>849.375</v>
      </c>
      <c r="F9" s="330">
        <v>12910.5</v>
      </c>
      <c r="G9" s="329">
        <v>0</v>
      </c>
      <c r="H9" s="329">
        <f t="shared" si="1"/>
        <v>0</v>
      </c>
      <c r="I9" s="329">
        <v>0</v>
      </c>
      <c r="J9" s="329">
        <v>0</v>
      </c>
      <c r="K9" s="329">
        <v>0</v>
      </c>
      <c r="L9" s="329"/>
      <c r="M9" s="331">
        <f t="shared" ref="M9:M18" si="14">F9+L9+Z9</f>
        <v>12910.5</v>
      </c>
      <c r="N9" s="331"/>
      <c r="O9" s="332">
        <f t="shared" si="2"/>
        <v>0</v>
      </c>
      <c r="P9" s="332">
        <f t="shared" si="3"/>
        <v>12910.5</v>
      </c>
      <c r="Q9" s="332">
        <f t="shared" si="4"/>
        <v>9418.8799999999992</v>
      </c>
      <c r="R9" s="332">
        <f t="shared" si="5"/>
        <v>3491.6200000000008</v>
      </c>
      <c r="S9" s="332">
        <f t="shared" si="6"/>
        <v>0.3</v>
      </c>
      <c r="T9" s="332">
        <f t="shared" si="7"/>
        <v>1047.4860000000001</v>
      </c>
      <c r="U9" s="332">
        <f t="shared" si="8"/>
        <v>1767.15</v>
      </c>
      <c r="V9" s="332">
        <f t="shared" si="9"/>
        <v>2814.6360000000004</v>
      </c>
      <c r="W9" s="332">
        <f t="shared" si="10"/>
        <v>0</v>
      </c>
      <c r="X9" s="332">
        <f t="shared" si="11"/>
        <v>2814.6360000000004</v>
      </c>
      <c r="Y9" s="330"/>
      <c r="Z9" s="331"/>
      <c r="AA9" s="331">
        <v>2140.2199999999998</v>
      </c>
      <c r="AB9" s="331"/>
      <c r="AC9" s="331"/>
      <c r="AD9" s="331">
        <f t="shared" si="12"/>
        <v>2140.2199999999998</v>
      </c>
      <c r="AE9" s="330">
        <f t="shared" si="13"/>
        <v>10770.28</v>
      </c>
      <c r="AF9" s="399" t="s">
        <v>252</v>
      </c>
      <c r="AG9" s="156"/>
      <c r="AH9" s="156"/>
    </row>
    <row r="10" spans="1:34" ht="24" customHeight="1" x14ac:dyDescent="0.2">
      <c r="A10" s="154"/>
      <c r="B10" s="361">
        <v>4</v>
      </c>
      <c r="C10" s="342" t="s">
        <v>192</v>
      </c>
      <c r="D10" s="328" t="s">
        <v>57</v>
      </c>
      <c r="E10" s="329">
        <f t="shared" si="0"/>
        <v>849.375</v>
      </c>
      <c r="F10" s="330">
        <v>12910.5</v>
      </c>
      <c r="G10" s="329">
        <v>0</v>
      </c>
      <c r="H10" s="329">
        <f t="shared" si="1"/>
        <v>0</v>
      </c>
      <c r="I10" s="329">
        <v>0</v>
      </c>
      <c r="J10" s="329">
        <v>0</v>
      </c>
      <c r="K10" s="329">
        <v>0</v>
      </c>
      <c r="L10" s="329"/>
      <c r="M10" s="331">
        <f t="shared" si="14"/>
        <v>12910.5</v>
      </c>
      <c r="N10" s="331"/>
      <c r="O10" s="332">
        <f t="shared" si="2"/>
        <v>0</v>
      </c>
      <c r="P10" s="332">
        <f t="shared" si="3"/>
        <v>12910.5</v>
      </c>
      <c r="Q10" s="332">
        <f t="shared" si="4"/>
        <v>9418.8799999999992</v>
      </c>
      <c r="R10" s="332">
        <f t="shared" si="5"/>
        <v>3491.6200000000008</v>
      </c>
      <c r="S10" s="332">
        <f t="shared" si="6"/>
        <v>0.3</v>
      </c>
      <c r="T10" s="332">
        <f t="shared" si="7"/>
        <v>1047.4860000000001</v>
      </c>
      <c r="U10" s="332">
        <f t="shared" si="8"/>
        <v>1767.15</v>
      </c>
      <c r="V10" s="332">
        <f t="shared" si="9"/>
        <v>2814.6360000000004</v>
      </c>
      <c r="W10" s="332">
        <f t="shared" si="10"/>
        <v>0</v>
      </c>
      <c r="X10" s="332">
        <f t="shared" si="11"/>
        <v>2814.6360000000004</v>
      </c>
      <c r="Y10" s="330"/>
      <c r="Z10" s="331"/>
      <c r="AA10" s="331">
        <v>2140.2199999999998</v>
      </c>
      <c r="AB10" s="331"/>
      <c r="AC10" s="331"/>
      <c r="AD10" s="331">
        <f t="shared" si="12"/>
        <v>2140.2199999999998</v>
      </c>
      <c r="AE10" s="330">
        <f t="shared" si="13"/>
        <v>10770.28</v>
      </c>
      <c r="AF10" s="399" t="s">
        <v>252</v>
      </c>
      <c r="AG10" s="155"/>
      <c r="AH10" s="155"/>
    </row>
    <row r="11" spans="1:34" ht="14.25" x14ac:dyDescent="0.2">
      <c r="A11" s="154"/>
      <c r="B11" s="361">
        <v>5</v>
      </c>
      <c r="C11" s="342" t="s">
        <v>193</v>
      </c>
      <c r="D11" s="328" t="s">
        <v>57</v>
      </c>
      <c r="E11" s="329">
        <f t="shared" si="0"/>
        <v>849.375</v>
      </c>
      <c r="F11" s="330">
        <v>12910.5</v>
      </c>
      <c r="G11" s="329">
        <v>0</v>
      </c>
      <c r="H11" s="329">
        <f t="shared" si="1"/>
        <v>0</v>
      </c>
      <c r="I11" s="329">
        <v>0</v>
      </c>
      <c r="J11" s="329">
        <v>0</v>
      </c>
      <c r="K11" s="329">
        <v>0</v>
      </c>
      <c r="L11" s="329"/>
      <c r="M11" s="331">
        <f t="shared" si="14"/>
        <v>12910.5</v>
      </c>
      <c r="N11" s="331"/>
      <c r="O11" s="332">
        <f t="shared" si="2"/>
        <v>0</v>
      </c>
      <c r="P11" s="332">
        <f t="shared" si="3"/>
        <v>12910.5</v>
      </c>
      <c r="Q11" s="332">
        <f t="shared" si="4"/>
        <v>9418.8799999999992</v>
      </c>
      <c r="R11" s="332">
        <f t="shared" si="5"/>
        <v>3491.6200000000008</v>
      </c>
      <c r="S11" s="332">
        <f t="shared" si="6"/>
        <v>0.3</v>
      </c>
      <c r="T11" s="332">
        <f t="shared" si="7"/>
        <v>1047.4860000000001</v>
      </c>
      <c r="U11" s="332">
        <f t="shared" si="8"/>
        <v>1767.15</v>
      </c>
      <c r="V11" s="332">
        <f t="shared" si="9"/>
        <v>2814.6360000000004</v>
      </c>
      <c r="W11" s="332">
        <f t="shared" si="10"/>
        <v>0</v>
      </c>
      <c r="X11" s="332">
        <f t="shared" si="11"/>
        <v>2814.6360000000004</v>
      </c>
      <c r="Y11" s="330"/>
      <c r="Z11" s="331"/>
      <c r="AA11" s="331">
        <v>2140.2199999999998</v>
      </c>
      <c r="AB11" s="331"/>
      <c r="AC11" s="331"/>
      <c r="AD11" s="331">
        <f t="shared" si="12"/>
        <v>2140.2199999999998</v>
      </c>
      <c r="AE11" s="330">
        <f t="shared" si="13"/>
        <v>10770.28</v>
      </c>
      <c r="AF11" s="399" t="s">
        <v>252</v>
      </c>
      <c r="AG11" s="155"/>
      <c r="AH11" s="155"/>
    </row>
    <row r="12" spans="1:34" ht="14.25" x14ac:dyDescent="0.2">
      <c r="A12" s="154"/>
      <c r="B12" s="361">
        <v>6</v>
      </c>
      <c r="C12" s="342" t="s">
        <v>194</v>
      </c>
      <c r="D12" s="328" t="s">
        <v>57</v>
      </c>
      <c r="E12" s="329">
        <f t="shared" si="0"/>
        <v>849.375</v>
      </c>
      <c r="F12" s="330">
        <v>12910.5</v>
      </c>
      <c r="G12" s="329">
        <v>0</v>
      </c>
      <c r="H12" s="329">
        <f t="shared" si="1"/>
        <v>0</v>
      </c>
      <c r="I12" s="329">
        <v>0</v>
      </c>
      <c r="J12" s="329">
        <v>0</v>
      </c>
      <c r="K12" s="329">
        <v>0</v>
      </c>
      <c r="L12" s="329"/>
      <c r="M12" s="331">
        <f t="shared" si="14"/>
        <v>12910.5</v>
      </c>
      <c r="N12" s="331"/>
      <c r="O12" s="332">
        <f t="shared" si="2"/>
        <v>0</v>
      </c>
      <c r="P12" s="332">
        <f t="shared" si="3"/>
        <v>12910.5</v>
      </c>
      <c r="Q12" s="332">
        <f t="shared" si="4"/>
        <v>9418.8799999999992</v>
      </c>
      <c r="R12" s="332">
        <f t="shared" si="5"/>
        <v>3491.6200000000008</v>
      </c>
      <c r="S12" s="332">
        <f t="shared" si="6"/>
        <v>0.3</v>
      </c>
      <c r="T12" s="332">
        <f t="shared" si="7"/>
        <v>1047.4860000000001</v>
      </c>
      <c r="U12" s="332">
        <f t="shared" si="8"/>
        <v>1767.15</v>
      </c>
      <c r="V12" s="332">
        <f t="shared" si="9"/>
        <v>2814.6360000000004</v>
      </c>
      <c r="W12" s="332">
        <f t="shared" si="10"/>
        <v>0</v>
      </c>
      <c r="X12" s="332">
        <f t="shared" si="11"/>
        <v>2814.6360000000004</v>
      </c>
      <c r="Y12" s="330"/>
      <c r="Z12" s="331"/>
      <c r="AA12" s="331">
        <v>2140.2199999999998</v>
      </c>
      <c r="AB12" s="331"/>
      <c r="AC12" s="331"/>
      <c r="AD12" s="331">
        <f t="shared" si="12"/>
        <v>2140.2199999999998</v>
      </c>
      <c r="AE12" s="330">
        <f t="shared" si="13"/>
        <v>10770.28</v>
      </c>
      <c r="AF12" s="399" t="s">
        <v>252</v>
      </c>
      <c r="AG12" s="155"/>
      <c r="AH12" s="155"/>
    </row>
    <row r="13" spans="1:34" ht="14.25" x14ac:dyDescent="0.2">
      <c r="A13" s="154"/>
      <c r="B13" s="361">
        <v>7</v>
      </c>
      <c r="C13" s="342" t="s">
        <v>195</v>
      </c>
      <c r="D13" s="328" t="s">
        <v>57</v>
      </c>
      <c r="E13" s="329">
        <f t="shared" si="0"/>
        <v>849.375</v>
      </c>
      <c r="F13" s="330">
        <v>12910.5</v>
      </c>
      <c r="G13" s="329">
        <v>0</v>
      </c>
      <c r="H13" s="329">
        <f t="shared" si="1"/>
        <v>0</v>
      </c>
      <c r="I13" s="329">
        <v>0</v>
      </c>
      <c r="J13" s="329">
        <v>0</v>
      </c>
      <c r="K13" s="329">
        <v>0</v>
      </c>
      <c r="L13" s="329"/>
      <c r="M13" s="331">
        <f t="shared" si="14"/>
        <v>12910.5</v>
      </c>
      <c r="N13" s="331"/>
      <c r="O13" s="332">
        <f t="shared" si="2"/>
        <v>0</v>
      </c>
      <c r="P13" s="332">
        <f t="shared" si="3"/>
        <v>12910.5</v>
      </c>
      <c r="Q13" s="332">
        <f t="shared" si="4"/>
        <v>9418.8799999999992</v>
      </c>
      <c r="R13" s="332">
        <f t="shared" si="5"/>
        <v>3491.6200000000008</v>
      </c>
      <c r="S13" s="332">
        <f t="shared" si="6"/>
        <v>0.3</v>
      </c>
      <c r="T13" s="332">
        <f t="shared" si="7"/>
        <v>1047.4860000000001</v>
      </c>
      <c r="U13" s="332">
        <f t="shared" si="8"/>
        <v>1767.15</v>
      </c>
      <c r="V13" s="332">
        <f t="shared" si="9"/>
        <v>2814.6360000000004</v>
      </c>
      <c r="W13" s="332">
        <f t="shared" si="10"/>
        <v>0</v>
      </c>
      <c r="X13" s="332">
        <f t="shared" si="11"/>
        <v>2814.6360000000004</v>
      </c>
      <c r="Y13" s="330"/>
      <c r="Z13" s="331"/>
      <c r="AA13" s="331">
        <v>2140.2199999999998</v>
      </c>
      <c r="AB13" s="331"/>
      <c r="AC13" s="331"/>
      <c r="AD13" s="331">
        <f t="shared" si="12"/>
        <v>2140.2199999999998</v>
      </c>
      <c r="AE13" s="330">
        <f t="shared" si="13"/>
        <v>10770.28</v>
      </c>
      <c r="AF13" s="399" t="s">
        <v>252</v>
      </c>
      <c r="AG13" s="155"/>
      <c r="AH13" s="155"/>
    </row>
    <row r="14" spans="1:34" ht="28.5" x14ac:dyDescent="0.2">
      <c r="A14" s="154"/>
      <c r="B14" s="361">
        <v>8</v>
      </c>
      <c r="C14" s="342" t="s">
        <v>196</v>
      </c>
      <c r="D14" s="328" t="s">
        <v>57</v>
      </c>
      <c r="E14" s="329">
        <f>F14/15.2</f>
        <v>849.375</v>
      </c>
      <c r="F14" s="330">
        <v>12910.5</v>
      </c>
      <c r="G14" s="329">
        <v>0</v>
      </c>
      <c r="H14" s="329">
        <f>G14</f>
        <v>0</v>
      </c>
      <c r="I14" s="329">
        <v>0</v>
      </c>
      <c r="J14" s="329">
        <v>0</v>
      </c>
      <c r="K14" s="329">
        <v>0</v>
      </c>
      <c r="L14" s="329"/>
      <c r="M14" s="331">
        <f>F14+L14+Z14</f>
        <v>12910.5</v>
      </c>
      <c r="N14" s="331"/>
      <c r="O14" s="332">
        <f>IF(E14=47.16,0,IF(E14&gt;47.16,J14*0.5,0))</f>
        <v>0</v>
      </c>
      <c r="P14" s="332">
        <f>F14+G14+H14+K14+O14+I14</f>
        <v>12910.5</v>
      </c>
      <c r="Q14" s="332">
        <f>VLOOKUP(P14,Tarifa1,1)</f>
        <v>9418.8799999999992</v>
      </c>
      <c r="R14" s="332">
        <f>P14-Q14</f>
        <v>3491.6200000000008</v>
      </c>
      <c r="S14" s="332">
        <f>VLOOKUP(P14,Tarifa1,3)</f>
        <v>0.3</v>
      </c>
      <c r="T14" s="332">
        <f>R14*S14</f>
        <v>1047.4860000000001</v>
      </c>
      <c r="U14" s="332">
        <f>VLOOKUP(P14,Tarifa1,2)</f>
        <v>1767.15</v>
      </c>
      <c r="V14" s="332">
        <f>T14+U14</f>
        <v>2814.6360000000004</v>
      </c>
      <c r="W14" s="332">
        <f>VLOOKUP(P14,Credito1,2)</f>
        <v>0</v>
      </c>
      <c r="X14" s="332">
        <f>V14-W14</f>
        <v>2814.6360000000004</v>
      </c>
      <c r="Y14" s="330"/>
      <c r="Z14" s="331"/>
      <c r="AA14" s="331">
        <v>2140.2199999999998</v>
      </c>
      <c r="AB14" s="331"/>
      <c r="AC14" s="331"/>
      <c r="AD14" s="331">
        <f>AC14+AB14+AA14</f>
        <v>2140.2199999999998</v>
      </c>
      <c r="AE14" s="330">
        <f>M14-AA14</f>
        <v>10770.28</v>
      </c>
      <c r="AF14" s="399" t="s">
        <v>252</v>
      </c>
      <c r="AG14" s="155"/>
      <c r="AH14" s="155"/>
    </row>
    <row r="15" spans="1:34" ht="14.25" x14ac:dyDescent="0.2">
      <c r="A15" s="154"/>
      <c r="B15" s="361">
        <v>9</v>
      </c>
      <c r="C15" s="418" t="s">
        <v>255</v>
      </c>
      <c r="D15" s="417" t="s">
        <v>57</v>
      </c>
      <c r="E15" s="329">
        <f>F15/15.2</f>
        <v>849.375</v>
      </c>
      <c r="F15" s="330">
        <v>12910.5</v>
      </c>
      <c r="G15" s="381"/>
      <c r="H15" s="381"/>
      <c r="I15" s="381"/>
      <c r="J15" s="381"/>
      <c r="K15" s="381"/>
      <c r="L15" s="381"/>
      <c r="M15" s="331">
        <f>F15+L15+Z15</f>
        <v>12910.5</v>
      </c>
      <c r="N15" s="381"/>
      <c r="O15" s="381"/>
      <c r="P15" s="381"/>
      <c r="Q15" s="381"/>
      <c r="R15" s="381"/>
      <c r="S15" s="381"/>
      <c r="T15" s="381"/>
      <c r="U15" s="381"/>
      <c r="V15" s="381"/>
      <c r="W15" s="381"/>
      <c r="X15" s="381"/>
      <c r="Y15" s="381"/>
      <c r="Z15" s="381"/>
      <c r="AA15" s="331">
        <v>2140.2199999999998</v>
      </c>
      <c r="AB15" s="381"/>
      <c r="AC15" s="381"/>
      <c r="AD15" s="331">
        <f>AC15+AB15+AA15</f>
        <v>2140.2199999999998</v>
      </c>
      <c r="AE15" s="330">
        <f>M15-AA15</f>
        <v>10770.28</v>
      </c>
      <c r="AF15" s="399" t="s">
        <v>252</v>
      </c>
      <c r="AG15" s="155"/>
      <c r="AH15" s="155"/>
    </row>
    <row r="16" spans="1:34" ht="25.5" x14ac:dyDescent="0.2">
      <c r="A16" s="154"/>
      <c r="B16" s="361">
        <v>10</v>
      </c>
      <c r="C16" s="342" t="s">
        <v>203</v>
      </c>
      <c r="D16" s="230" t="s">
        <v>234</v>
      </c>
      <c r="E16" s="329">
        <f t="shared" si="0"/>
        <v>219.17763157894737</v>
      </c>
      <c r="F16" s="333">
        <v>3331.5</v>
      </c>
      <c r="G16" s="329"/>
      <c r="H16" s="329"/>
      <c r="I16" s="329"/>
      <c r="J16" s="329"/>
      <c r="K16" s="329"/>
      <c r="L16" s="329"/>
      <c r="M16" s="331">
        <f t="shared" si="14"/>
        <v>3331.5</v>
      </c>
      <c r="N16" s="331"/>
      <c r="O16" s="332"/>
      <c r="P16" s="332"/>
      <c r="Q16" s="332"/>
      <c r="R16" s="332"/>
      <c r="S16" s="332"/>
      <c r="T16" s="332"/>
      <c r="U16" s="332"/>
      <c r="V16" s="332"/>
      <c r="W16" s="332"/>
      <c r="X16" s="332"/>
      <c r="Y16" s="330"/>
      <c r="Z16" s="331"/>
      <c r="AA16" s="331">
        <v>241.06</v>
      </c>
      <c r="AB16" s="331"/>
      <c r="AC16" s="331"/>
      <c r="AD16" s="331">
        <f t="shared" si="12"/>
        <v>241.06</v>
      </c>
      <c r="AE16" s="330">
        <f t="shared" si="13"/>
        <v>3090.44</v>
      </c>
      <c r="AF16" s="399" t="s">
        <v>253</v>
      </c>
      <c r="AG16" s="155"/>
      <c r="AH16" s="155"/>
    </row>
    <row r="17" spans="1:34" ht="14.25" x14ac:dyDescent="0.2">
      <c r="A17" s="154"/>
      <c r="B17" s="361"/>
      <c r="C17" s="419" t="s">
        <v>58</v>
      </c>
      <c r="D17" s="225"/>
      <c r="E17" s="329"/>
      <c r="F17" s="330"/>
      <c r="G17" s="329">
        <v>0</v>
      </c>
      <c r="H17" s="329">
        <f t="shared" si="1"/>
        <v>0</v>
      </c>
      <c r="I17" s="329">
        <v>0</v>
      </c>
      <c r="J17" s="329">
        <v>0</v>
      </c>
      <c r="K17" s="329"/>
      <c r="L17" s="329"/>
      <c r="M17" s="331"/>
      <c r="N17" s="331"/>
      <c r="O17" s="332">
        <f t="shared" si="2"/>
        <v>0</v>
      </c>
      <c r="P17" s="332">
        <f t="shared" si="3"/>
        <v>0</v>
      </c>
      <c r="Q17" s="332" t="e">
        <f t="shared" si="4"/>
        <v>#N/A</v>
      </c>
      <c r="R17" s="332" t="e">
        <f t="shared" si="5"/>
        <v>#N/A</v>
      </c>
      <c r="S17" s="332" t="e">
        <f t="shared" si="6"/>
        <v>#N/A</v>
      </c>
      <c r="T17" s="332" t="e">
        <f t="shared" si="7"/>
        <v>#N/A</v>
      </c>
      <c r="U17" s="332" t="e">
        <f t="shared" si="8"/>
        <v>#N/A</v>
      </c>
      <c r="V17" s="332" t="e">
        <f t="shared" si="9"/>
        <v>#N/A</v>
      </c>
      <c r="W17" s="332" t="e">
        <f t="shared" si="10"/>
        <v>#N/A</v>
      </c>
      <c r="X17" s="332" t="e">
        <f t="shared" si="11"/>
        <v>#N/A</v>
      </c>
      <c r="Y17" s="330"/>
      <c r="Z17" s="331"/>
      <c r="AA17" s="331"/>
      <c r="AB17" s="331"/>
      <c r="AC17" s="331"/>
      <c r="AD17" s="331"/>
      <c r="AE17" s="330"/>
      <c r="AF17" s="400"/>
      <c r="AG17" s="155"/>
      <c r="AH17" s="155"/>
    </row>
    <row r="18" spans="1:34" ht="28.5" x14ac:dyDescent="0.2">
      <c r="A18" s="157"/>
      <c r="B18" s="363">
        <v>10</v>
      </c>
      <c r="C18" s="342" t="s">
        <v>197</v>
      </c>
      <c r="D18" s="225" t="s">
        <v>59</v>
      </c>
      <c r="E18" s="334">
        <f t="shared" ref="E18" si="15">F18/15.2</f>
        <v>1154.2434210526317</v>
      </c>
      <c r="F18" s="335">
        <v>17544.5</v>
      </c>
      <c r="G18" s="334">
        <v>0</v>
      </c>
      <c r="H18" s="334">
        <f t="shared" si="1"/>
        <v>0</v>
      </c>
      <c r="I18" s="334">
        <v>0</v>
      </c>
      <c r="J18" s="334">
        <v>0</v>
      </c>
      <c r="K18" s="334">
        <v>0</v>
      </c>
      <c r="L18" s="334"/>
      <c r="M18" s="336">
        <f t="shared" si="14"/>
        <v>17544.5</v>
      </c>
      <c r="N18" s="336"/>
      <c r="O18" s="336">
        <f t="shared" si="2"/>
        <v>0</v>
      </c>
      <c r="P18" s="336">
        <f t="shared" si="3"/>
        <v>17544.5</v>
      </c>
      <c r="Q18" s="336">
        <f t="shared" si="4"/>
        <v>9418.8799999999992</v>
      </c>
      <c r="R18" s="336">
        <f t="shared" si="5"/>
        <v>8125.6200000000008</v>
      </c>
      <c r="S18" s="336">
        <f t="shared" si="6"/>
        <v>0.3</v>
      </c>
      <c r="T18" s="336">
        <f t="shared" si="7"/>
        <v>2437.6860000000001</v>
      </c>
      <c r="U18" s="336">
        <f t="shared" si="8"/>
        <v>1767.15</v>
      </c>
      <c r="V18" s="336">
        <f t="shared" si="9"/>
        <v>4204.8360000000002</v>
      </c>
      <c r="W18" s="336">
        <f t="shared" si="10"/>
        <v>0</v>
      </c>
      <c r="X18" s="336">
        <f t="shared" si="11"/>
        <v>4204.8360000000002</v>
      </c>
      <c r="Y18" s="336"/>
      <c r="Z18" s="336"/>
      <c r="AA18" s="336">
        <v>3230.14</v>
      </c>
      <c r="AB18" s="336"/>
      <c r="AC18" s="336"/>
      <c r="AD18" s="336">
        <f>AA18</f>
        <v>3230.14</v>
      </c>
      <c r="AE18" s="336">
        <f>M18-AD18</f>
        <v>14314.36</v>
      </c>
      <c r="AF18" s="399" t="s">
        <v>252</v>
      </c>
      <c r="AG18" s="159"/>
      <c r="AH18" s="159"/>
    </row>
    <row r="19" spans="1:34" ht="15.75" thickBot="1" x14ac:dyDescent="0.25">
      <c r="A19" s="154"/>
      <c r="B19" s="365"/>
      <c r="C19" s="369" t="s">
        <v>60</v>
      </c>
      <c r="D19" s="369"/>
      <c r="E19" s="366">
        <f>E7+E8+E9+E10+E11+E12+E13+E14+E16+E18</f>
        <v>8168.4210526315792</v>
      </c>
      <c r="F19" s="366">
        <f>F7+F8+F9+F10+F11+F12+F13+F14+F15+F16+F18</f>
        <v>137070.5</v>
      </c>
      <c r="G19" s="366">
        <f t="shared" ref="G19:AE19" si="16">G7+G8+G9+G10+G11+G12+G13+G14+G15+G16+G18</f>
        <v>0</v>
      </c>
      <c r="H19" s="366">
        <f t="shared" si="16"/>
        <v>0</v>
      </c>
      <c r="I19" s="366">
        <f t="shared" si="16"/>
        <v>0</v>
      </c>
      <c r="J19" s="366">
        <f t="shared" si="16"/>
        <v>0</v>
      </c>
      <c r="K19" s="366">
        <f t="shared" si="16"/>
        <v>0</v>
      </c>
      <c r="L19" s="366">
        <f t="shared" si="16"/>
        <v>0</v>
      </c>
      <c r="M19" s="366">
        <f t="shared" si="16"/>
        <v>137070.5</v>
      </c>
      <c r="N19" s="366">
        <f t="shared" si="16"/>
        <v>0</v>
      </c>
      <c r="O19" s="366">
        <f t="shared" si="16"/>
        <v>0</v>
      </c>
      <c r="P19" s="366">
        <f t="shared" si="16"/>
        <v>120828.5</v>
      </c>
      <c r="Q19" s="366">
        <f t="shared" si="16"/>
        <v>84769.919999999998</v>
      </c>
      <c r="R19" s="366">
        <f t="shared" si="16"/>
        <v>36058.580000000016</v>
      </c>
      <c r="S19" s="366">
        <f t="shared" si="16"/>
        <v>2.6999999999999997</v>
      </c>
      <c r="T19" s="366">
        <f t="shared" si="16"/>
        <v>10817.574000000001</v>
      </c>
      <c r="U19" s="366">
        <f t="shared" si="16"/>
        <v>15904.349999999999</v>
      </c>
      <c r="V19" s="366">
        <f t="shared" si="16"/>
        <v>26721.924000000003</v>
      </c>
      <c r="W19" s="366">
        <f t="shared" si="16"/>
        <v>0</v>
      </c>
      <c r="X19" s="366">
        <f t="shared" si="16"/>
        <v>26721.924000000003</v>
      </c>
      <c r="Y19" s="366">
        <f t="shared" si="16"/>
        <v>0</v>
      </c>
      <c r="Z19" s="366">
        <f t="shared" si="16"/>
        <v>0</v>
      </c>
      <c r="AA19" s="366">
        <f t="shared" si="16"/>
        <v>22733.18</v>
      </c>
      <c r="AB19" s="366">
        <f t="shared" si="16"/>
        <v>0</v>
      </c>
      <c r="AC19" s="366">
        <f t="shared" si="16"/>
        <v>0</v>
      </c>
      <c r="AD19" s="366">
        <f t="shared" si="16"/>
        <v>22733.18</v>
      </c>
      <c r="AE19" s="366">
        <f t="shared" si="16"/>
        <v>114337.32</v>
      </c>
      <c r="AF19" s="400"/>
      <c r="AG19" s="367"/>
      <c r="AH19" s="367"/>
    </row>
  </sheetData>
  <mergeCells count="13">
    <mergeCell ref="AF4:AF6"/>
    <mergeCell ref="AG4:AH6"/>
    <mergeCell ref="E5:E6"/>
    <mergeCell ref="AA5:AA6"/>
    <mergeCell ref="AC5:AC6"/>
    <mergeCell ref="B2:AE2"/>
    <mergeCell ref="B3:AE3"/>
    <mergeCell ref="B4:B6"/>
    <mergeCell ref="C4:C6"/>
    <mergeCell ref="D4:D6"/>
    <mergeCell ref="F4:M4"/>
    <mergeCell ref="Q4:V4"/>
    <mergeCell ref="AA4:A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NOMINA_ADM._2019</vt:lpstr>
      <vt:lpstr>NOMINA PENSIONADOS </vt:lpstr>
      <vt:lpstr>NOMINA SEGURIDAD</vt:lpstr>
      <vt:lpstr>tarifa</vt:lpstr>
      <vt:lpstr>calculadora </vt:lpstr>
      <vt:lpstr>Hoja1</vt:lpstr>
      <vt:lpstr>Credito1</vt:lpstr>
      <vt:lpstr>Tarifa1</vt:lpstr>
    </vt:vector>
  </TitlesOfParts>
  <Company>FAMILIAR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</dc:creator>
  <cp:lastModifiedBy>TESORERIA</cp:lastModifiedBy>
  <cp:revision/>
  <cp:lastPrinted>2020-02-13T17:09:24Z</cp:lastPrinted>
  <dcterms:created xsi:type="dcterms:W3CDTF">2000-05-05T04:08:27Z</dcterms:created>
  <dcterms:modified xsi:type="dcterms:W3CDTF">2020-02-13T17:24:37Z</dcterms:modified>
</cp:coreProperties>
</file>