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 Kuhfahl\Documents\ASMC\May\"/>
    </mc:Choice>
  </mc:AlternateContent>
  <bookViews>
    <workbookView xWindow="0" yWindow="0" windowWidth="20490" windowHeight="7230"/>
  </bookViews>
  <sheets>
    <sheet name="2015-16 Budget" sheetId="5" r:id="rId1"/>
    <sheet name="2015-16 Budget by Category" sheetId="4" r:id="rId2"/>
  </sheets>
  <definedNames>
    <definedName name="_xlnm.Print_Area" localSheetId="0">'2015-16 Budget'!$A$1:$S$51</definedName>
    <definedName name="_xlnm.Print_Area" localSheetId="1">'2015-16 Budget by Category'!$A$1:$L$44</definedName>
  </definedNames>
  <calcPr calcId="162913"/>
</workbook>
</file>

<file path=xl/calcChain.xml><?xml version="1.0" encoding="utf-8"?>
<calcChain xmlns="http://schemas.openxmlformats.org/spreadsheetml/2006/main">
  <c r="Q16" i="5" l="1"/>
  <c r="D18" i="5" l="1"/>
  <c r="D15" i="5"/>
  <c r="D13" i="5"/>
  <c r="D14" i="5"/>
  <c r="D20" i="5"/>
  <c r="D16" i="5"/>
  <c r="Q26" i="5"/>
  <c r="Q33" i="5"/>
  <c r="Q36" i="5"/>
  <c r="Q7" i="5"/>
  <c r="Q37" i="5"/>
  <c r="Q34" i="5"/>
  <c r="Q35" i="5"/>
  <c r="D21" i="5"/>
  <c r="Q40" i="5" l="1"/>
  <c r="F13" i="5"/>
  <c r="G22" i="4" l="1"/>
  <c r="F22" i="4"/>
  <c r="D22" i="4"/>
  <c r="D12" i="5"/>
  <c r="Q21" i="5"/>
  <c r="Q8" i="5" l="1"/>
  <c r="D19" i="5"/>
  <c r="D17" i="5" l="1"/>
  <c r="G6" i="4"/>
  <c r="F5" i="4"/>
  <c r="Q22" i="5" l="1"/>
  <c r="Q27" i="5" l="1"/>
  <c r="S16" i="5" l="1"/>
  <c r="Q23" i="5"/>
  <c r="F6" i="4" s="1"/>
  <c r="F12" i="5"/>
  <c r="G5" i="4" s="1"/>
  <c r="F18" i="5" l="1"/>
  <c r="B34" i="4" l="1"/>
  <c r="F28" i="4"/>
  <c r="F27" i="4"/>
  <c r="F26" i="4"/>
  <c r="F25" i="4"/>
  <c r="F24" i="4"/>
  <c r="F23" i="4"/>
  <c r="F21" i="4"/>
  <c r="F20" i="4"/>
  <c r="F19" i="4"/>
  <c r="F18" i="4"/>
  <c r="F17" i="4"/>
  <c r="F16" i="4"/>
  <c r="G29" i="4"/>
  <c r="F29" i="4"/>
  <c r="F15" i="4"/>
  <c r="F14" i="4"/>
  <c r="F13" i="4"/>
  <c r="F12" i="4"/>
  <c r="F11" i="4"/>
  <c r="F10" i="4"/>
  <c r="F9" i="4"/>
  <c r="F8" i="4"/>
  <c r="F7" i="4"/>
  <c r="G28" i="4"/>
  <c r="D28" i="4"/>
  <c r="G27" i="4"/>
  <c r="D27" i="4"/>
  <c r="G26" i="4"/>
  <c r="D26" i="4"/>
  <c r="G25" i="4"/>
  <c r="D25" i="4"/>
  <c r="G24" i="4"/>
  <c r="D24" i="4"/>
  <c r="G23" i="4"/>
  <c r="E23" i="4"/>
  <c r="D23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F30" i="4" l="1"/>
  <c r="D13" i="4"/>
  <c r="G12" i="4"/>
  <c r="D12" i="4"/>
  <c r="D11" i="4"/>
  <c r="D5" i="4"/>
  <c r="G11" i="4"/>
  <c r="G10" i="4"/>
  <c r="B10" i="4"/>
  <c r="G9" i="4"/>
  <c r="B9" i="4"/>
  <c r="G8" i="4"/>
  <c r="B8" i="4"/>
  <c r="G7" i="4"/>
  <c r="D7" i="4"/>
  <c r="B7" i="4"/>
  <c r="D6" i="4"/>
  <c r="B6" i="4"/>
  <c r="B5" i="4"/>
  <c r="S44" i="5"/>
  <c r="Q44" i="5"/>
  <c r="P44" i="5"/>
  <c r="N44" i="5"/>
  <c r="R43" i="5"/>
  <c r="E34" i="5"/>
  <c r="E33" i="5"/>
  <c r="E36" i="5" s="1"/>
  <c r="J25" i="5"/>
  <c r="G25" i="5"/>
  <c r="F23" i="5"/>
  <c r="E23" i="5"/>
  <c r="R46" i="5" s="1"/>
  <c r="D23" i="5"/>
  <c r="B23" i="5"/>
  <c r="H21" i="5"/>
  <c r="F9" i="5"/>
  <c r="H8" i="5"/>
  <c r="O7" i="5"/>
  <c r="O44" i="5" s="1"/>
  <c r="H7" i="5"/>
  <c r="H25" i="5" s="1"/>
  <c r="D7" i="5"/>
  <c r="D9" i="5" s="1"/>
  <c r="C7" i="5"/>
  <c r="C9" i="5" s="1"/>
  <c r="C23" i="5" s="1"/>
  <c r="B7" i="5"/>
  <c r="B33" i="4" s="1"/>
  <c r="B35" i="4" s="1"/>
  <c r="B9" i="5" l="1"/>
  <c r="D8" i="4"/>
  <c r="D30" i="4" s="1"/>
  <c r="B30" i="4"/>
  <c r="G30" i="4"/>
  <c r="O47" i="5"/>
  <c r="O46" i="5"/>
  <c r="B36" i="4" l="1"/>
  <c r="B37" i="4" s="1"/>
  <c r="E27" i="4"/>
  <c r="I14" i="4"/>
  <c r="E28" i="4"/>
  <c r="H18" i="4"/>
  <c r="K18" i="4"/>
  <c r="I18" i="4" l="1"/>
  <c r="E29" i="4"/>
</calcChain>
</file>

<file path=xl/sharedStrings.xml><?xml version="1.0" encoding="utf-8"?>
<sst xmlns="http://schemas.openxmlformats.org/spreadsheetml/2006/main" count="103" uniqueCount="75">
  <si>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</si>
  <si>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</si>
  <si>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</si>
  <si>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</si>
  <si>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</si>
  <si>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</si>
  <si>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</si>
  <si>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</si>
  <si>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</si>
  <si>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</si>
  <si>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</si>
  <si>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</si>
  <si>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</si>
  <si>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</si>
  <si>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</si>
  <si>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</si>
  <si>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</si>
  <si>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</si>
  <si>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</si>
  <si>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</si>
  <si>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</si>
  <si>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</si>
  <si>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</si>
  <si>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</si>
  <si>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</si>
  <si>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</si>
  <si>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</si>
  <si>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</si>
  <si>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</si>
  <si>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</si>
  <si>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</si>
  <si>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</si>
  <si>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</si>
  <si>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</si>
  <si>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</si>
  <si>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</si>
  <si>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</si>
  <si>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</si>
  <si>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</si>
  <si>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</si>
  <si>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</si>
  <si>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</si>
  <si>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</si>
  <si>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</si>
  <si>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</si>
  <si>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</si>
  <si>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</si>
  <si>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</si>
  <si>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</si>
  <si>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</si>
  <si>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</si>
  <si>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</si>
  <si>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</si>
  <si>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</si>
  <si>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</si>
  <si>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</si>
  <si>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</si>
  <si>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</si>
  <si>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</si>
  <si>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</si>
  <si>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</si>
  <si>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</si>
  <si>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</si>
  <si>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</si>
  <si>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</si>
  <si>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</si>
  <si>
    <t>Mini PDI - Other</t>
  </si>
  <si>
    <t>Golf Tournament - Other</t>
  </si>
  <si>
    <t>Notes/Comments</t>
  </si>
  <si>
    <t>Cloud Hosting - Intuit</t>
  </si>
  <si>
    <t>Cloud Hosting</t>
  </si>
  <si>
    <t>Young Professionals</t>
  </si>
  <si>
    <t>Account Balances as of 
30 April 2016</t>
  </si>
  <si>
    <t xml:space="preserve">$134K for PDI Expense not accounted above.  </t>
  </si>
  <si>
    <t>Payment made in June.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</si>
</sst>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A22" zoomScale="80" zoomScaleNormal="80" workbookViewId="0">
      <selection activeCell="A48" sqref="A48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9" t="s">
        <v>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2" ht="33" customHeight="1" x14ac:dyDescent="0.4">
      <c r="A2" s="49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72</v>
      </c>
      <c r="B6" s="21" t="s">
        <v>48</v>
      </c>
      <c r="C6" s="21"/>
      <c r="D6" s="33" t="s">
        <v>49</v>
      </c>
      <c r="E6" s="21"/>
      <c r="F6" s="21" t="s">
        <v>50</v>
      </c>
      <c r="H6" s="10" t="s">
        <v>20</v>
      </c>
      <c r="J6" s="4" t="s">
        <v>17</v>
      </c>
      <c r="L6" s="18"/>
      <c r="M6" s="8"/>
      <c r="N6" s="27"/>
      <c r="O6" s="21" t="s">
        <v>48</v>
      </c>
      <c r="P6" s="21"/>
      <c r="Q6" s="33" t="s">
        <v>49</v>
      </c>
      <c r="R6" s="21"/>
      <c r="S6" s="21" t="s">
        <v>50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1696+2620.67+3683.97+1410.38+743.95+1227.6+2493.67+657.2+3595.61+3369.25</f>
        <v>21498.300000000003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69</v>
      </c>
      <c r="C8" s="32"/>
      <c r="D8" s="21">
        <v>69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>
        <f>13638.17</f>
        <v>13638.17</v>
      </c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336771.55</v>
      </c>
      <c r="C9" s="9">
        <f>SUM(C7:C8)</f>
        <v>336702.55</v>
      </c>
      <c r="D9" s="9">
        <f>SUM(D7:D8)</f>
        <v>336771.55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39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45</v>
      </c>
      <c r="M11" s="29"/>
      <c r="N11" s="19"/>
      <c r="O11" s="13"/>
      <c r="P11" s="7"/>
      <c r="Q11" s="9"/>
      <c r="R11" s="7"/>
      <c r="S11" s="13">
        <v>3472.33</v>
      </c>
    </row>
    <row r="12" spans="1:22" x14ac:dyDescent="0.2">
      <c r="A12" s="3" t="s">
        <v>37</v>
      </c>
      <c r="B12" s="13">
        <v>50000</v>
      </c>
      <c r="C12" s="7"/>
      <c r="D12" s="9">
        <f>21938.61+18550.1+21440.83+12121.63</f>
        <v>74051.17</v>
      </c>
      <c r="E12" s="9"/>
      <c r="F12" s="9">
        <f>69529.08+194.32+946</f>
        <v>70669.400000000009</v>
      </c>
      <c r="K12" s="36"/>
      <c r="L12" s="3" t="s">
        <v>47</v>
      </c>
      <c r="O12" s="13"/>
      <c r="R12" s="7"/>
      <c r="S12" s="13">
        <v>10000</v>
      </c>
    </row>
    <row r="13" spans="1:22" x14ac:dyDescent="0.2">
      <c r="A13" s="3" t="s">
        <v>38</v>
      </c>
      <c r="B13" s="13">
        <v>50000</v>
      </c>
      <c r="C13" s="7"/>
      <c r="D13" s="9">
        <f>2250+691.78+14476.5+23279.52+9967.76+30520.62+16146+700-1403.7</f>
        <v>96628.48000000001</v>
      </c>
      <c r="E13" s="9"/>
      <c r="F13" s="9">
        <f>84760.77+244.13+11225.5+8100+5350+2000</f>
        <v>111680.40000000001</v>
      </c>
      <c r="K13" s="36"/>
    </row>
    <row r="14" spans="1:22" x14ac:dyDescent="0.2">
      <c r="A14" s="3" t="s">
        <v>66</v>
      </c>
      <c r="B14" s="13">
        <v>0</v>
      </c>
      <c r="D14" s="9">
        <f>8674.39-354</f>
        <v>8320.39</v>
      </c>
      <c r="E14" s="9"/>
      <c r="F14" s="9">
        <v>0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41</v>
      </c>
      <c r="B15" s="13">
        <v>7000</v>
      </c>
      <c r="C15" s="7"/>
      <c r="D15" s="9">
        <f>5157+2139</f>
        <v>7296</v>
      </c>
      <c r="E15" s="9"/>
      <c r="F15" s="9">
        <v>7431.92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34</v>
      </c>
      <c r="B16" s="13">
        <v>9000</v>
      </c>
      <c r="C16" s="7"/>
      <c r="D16" s="9">
        <f>3313.3+2244.12</f>
        <v>5557.42</v>
      </c>
      <c r="E16" s="9"/>
      <c r="F16" s="9">
        <v>11600.62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44700+3521.79-1578.55+780-780+9760.25-1554.59</f>
        <v>54848.9</v>
      </c>
      <c r="R16" s="7"/>
      <c r="S16" s="13">
        <f>173063.79+1053.13+536.23</f>
        <v>174653.15000000002</v>
      </c>
    </row>
    <row r="17" spans="1:23" ht="14.25" customHeight="1" x14ac:dyDescent="0.2">
      <c r="A17" s="3" t="s">
        <v>67</v>
      </c>
      <c r="B17" s="13">
        <v>0</v>
      </c>
      <c r="C17" s="7"/>
      <c r="D17" s="9">
        <f>60+1350</f>
        <v>1410</v>
      </c>
      <c r="E17" s="9"/>
      <c r="F17" s="9">
        <v>0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36</v>
      </c>
      <c r="B18" s="13">
        <v>10000</v>
      </c>
      <c r="C18" s="7"/>
      <c r="D18" s="9">
        <f>982+2594+4007+1400+5850-1350</f>
        <v>13483</v>
      </c>
      <c r="E18" s="9"/>
      <c r="F18" s="9">
        <f>6671+10330</f>
        <v>17001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5</v>
      </c>
      <c r="B19" s="13">
        <v>4000</v>
      </c>
      <c r="C19" s="7"/>
      <c r="D19" s="9">
        <f>299.06+914.36+1842.81+1840</f>
        <v>4896.2299999999996</v>
      </c>
      <c r="E19" s="9"/>
      <c r="F19" s="9">
        <v>4791.32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x14ac:dyDescent="0.2">
      <c r="A20" s="3" t="s">
        <v>32</v>
      </c>
      <c r="B20" s="13">
        <v>60</v>
      </c>
      <c r="C20" s="7"/>
      <c r="D20" s="9">
        <f>59.79</f>
        <v>59.79</v>
      </c>
      <c r="E20" s="9">
        <v>78.12</v>
      </c>
      <c r="F20" s="9">
        <v>78.12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6</v>
      </c>
      <c r="B21" s="13">
        <v>7500</v>
      </c>
      <c r="C21" s="7"/>
      <c r="D21" s="9">
        <f>546+709.28+827.9+1137.17+2073.67+1917.81-1842.81+736.88+930.6+100+900.88+1249.94</f>
        <v>9287.3200000000015</v>
      </c>
      <c r="E21" s="9"/>
      <c r="F21" s="9">
        <v>12204.24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>
        <f>668.44</f>
        <v>668.44</v>
      </c>
      <c r="R21" s="8"/>
      <c r="S21" s="13">
        <v>151.72999999999999</v>
      </c>
      <c r="U21" s="4">
        <v>799.72</v>
      </c>
    </row>
    <row r="22" spans="1:23" ht="13.5" thickBot="1" x14ac:dyDescent="0.25">
      <c r="A22" s="3" t="s">
        <v>19</v>
      </c>
      <c r="B22" s="26"/>
      <c r="C22" s="6"/>
      <c r="D22" s="6">
        <v>0</v>
      </c>
      <c r="E22" s="6"/>
      <c r="F22" s="6">
        <v>0</v>
      </c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>
        <f>28000+1000+1000</f>
        <v>30000</v>
      </c>
      <c r="R22" s="8"/>
      <c r="S22" s="13">
        <v>22000</v>
      </c>
      <c r="U22" s="4">
        <v>6108.75</v>
      </c>
    </row>
    <row r="23" spans="1:23" x14ac:dyDescent="0.2">
      <c r="A23" s="3" t="s">
        <v>25</v>
      </c>
      <c r="B23" s="4">
        <f>SUM(B12:B22)</f>
        <v>137560</v>
      </c>
      <c r="C23" s="4">
        <f>C9+SUM(C12:C22)</f>
        <v>336702.55</v>
      </c>
      <c r="D23" s="4">
        <f>SUM(D12:D22)</f>
        <v>220989.80000000008</v>
      </c>
      <c r="E23" s="4">
        <f>SUM(E7:E21)</f>
        <v>78.12</v>
      </c>
      <c r="F23" s="4">
        <f>SUM(F12:F22)</f>
        <v>235457.02000000002</v>
      </c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f>14518+882.36</f>
        <v>15400.36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35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71</v>
      </c>
      <c r="M26" s="29"/>
      <c r="N26" s="19"/>
      <c r="O26" s="13">
        <v>2000</v>
      </c>
      <c r="P26" s="8"/>
      <c r="Q26" s="9">
        <f>290+467+347.54</f>
        <v>1104.54</v>
      </c>
      <c r="R26" s="8"/>
      <c r="S26" s="4">
        <v>303</v>
      </c>
    </row>
    <row r="27" spans="1:23" x14ac:dyDescent="0.2">
      <c r="K27" s="36"/>
      <c r="L27" s="8" t="s">
        <v>44</v>
      </c>
      <c r="O27" s="13">
        <v>20000</v>
      </c>
      <c r="P27" s="8"/>
      <c r="Q27" s="9">
        <f>9800</f>
        <v>9800</v>
      </c>
      <c r="R27" s="8"/>
      <c r="S27" s="4">
        <v>9800</v>
      </c>
      <c r="W27" s="22"/>
    </row>
    <row r="28" spans="1:23" x14ac:dyDescent="0.2">
      <c r="D28" s="22"/>
      <c r="K28" s="36"/>
      <c r="P28" s="8"/>
      <c r="R28" s="8"/>
      <c r="S28" s="13"/>
    </row>
    <row r="29" spans="1:23" x14ac:dyDescent="0.2">
      <c r="D29" s="22"/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D30" s="22"/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>
        <v>3700</v>
      </c>
      <c r="R31" s="7"/>
      <c r="S31" s="13">
        <v>3700</v>
      </c>
    </row>
    <row r="32" spans="1:23" x14ac:dyDescent="0.2">
      <c r="K32" s="36"/>
      <c r="L32" s="8" t="s">
        <v>46</v>
      </c>
      <c r="M32" s="29"/>
      <c r="N32" s="19"/>
      <c r="O32" s="13">
        <v>0</v>
      </c>
      <c r="P32" s="7"/>
      <c r="Q32" s="9">
        <v>2.16</v>
      </c>
      <c r="R32" s="7"/>
      <c r="S32" s="13">
        <v>21.1</v>
      </c>
    </row>
    <row r="33" spans="2:24" x14ac:dyDescent="0.2">
      <c r="D33" s="22"/>
      <c r="E33" s="9">
        <f xml:space="preserve"> SUM(G7:G24)</f>
        <v>0</v>
      </c>
      <c r="F33" s="9"/>
      <c r="K33" s="36"/>
      <c r="L33" s="8" t="s">
        <v>42</v>
      </c>
      <c r="M33" s="29"/>
      <c r="N33" s="19"/>
      <c r="O33" s="13">
        <v>2000</v>
      </c>
      <c r="P33" s="7"/>
      <c r="Q33" s="9">
        <f>69.92+39.95+39.95+39.95+39.95+29.97+39.95+29.97+39.95+39.95+39.95+69.92+39.95</f>
        <v>559.32999999999993</v>
      </c>
      <c r="R33" s="7"/>
      <c r="S33" s="13">
        <v>1780.97</v>
      </c>
      <c r="U33" s="4">
        <v>1959</v>
      </c>
    </row>
    <row r="34" spans="2:24" x14ac:dyDescent="0.2">
      <c r="D34" s="4"/>
      <c r="E34" s="9">
        <f>SUM(K7:K9)</f>
        <v>0</v>
      </c>
      <c r="F34" s="9"/>
      <c r="K34" s="36"/>
      <c r="L34" s="8" t="s">
        <v>40</v>
      </c>
      <c r="M34" s="29"/>
      <c r="N34" s="19"/>
      <c r="O34" s="13">
        <v>600</v>
      </c>
      <c r="P34" s="7"/>
      <c r="Q34" s="9">
        <f>44*4+55+55+55+55+18.1+55+55+55</f>
        <v>579.1</v>
      </c>
      <c r="S34" s="4">
        <v>349.16</v>
      </c>
    </row>
    <row r="35" spans="2:24" x14ac:dyDescent="0.2">
      <c r="D35" s="4"/>
      <c r="E35" s="9"/>
      <c r="F35" s="9"/>
      <c r="K35" s="36"/>
      <c r="L35" s="8" t="s">
        <v>69</v>
      </c>
      <c r="M35" s="29"/>
      <c r="N35" s="19"/>
      <c r="O35" s="13">
        <v>0</v>
      </c>
      <c r="P35" s="7"/>
      <c r="Q35" s="9">
        <f>998.9+54.99+54.99</f>
        <v>1108.8799999999999</v>
      </c>
      <c r="S35" s="4">
        <v>0</v>
      </c>
    </row>
    <row r="36" spans="2:24" x14ac:dyDescent="0.2">
      <c r="D36" s="4"/>
      <c r="E36" s="9">
        <f>E33-E34</f>
        <v>0</v>
      </c>
      <c r="F36" s="9"/>
      <c r="K36" s="36"/>
      <c r="L36" s="3" t="s">
        <v>33</v>
      </c>
      <c r="O36" s="13">
        <v>720</v>
      </c>
      <c r="Q36" s="9">
        <f>59.95+59.95*2+59.95+59.95+59.95+59.95+59.95+59.95+59.95+59.95</f>
        <v>659.45</v>
      </c>
      <c r="R36" s="7"/>
      <c r="S36" s="13">
        <v>659.45</v>
      </c>
      <c r="U36" s="4">
        <v>448.12</v>
      </c>
      <c r="X36" s="22"/>
    </row>
    <row r="37" spans="2:24" x14ac:dyDescent="0.2">
      <c r="K37" s="36"/>
      <c r="L37" s="8" t="s">
        <v>27</v>
      </c>
      <c r="M37" s="29"/>
      <c r="N37" s="19"/>
      <c r="O37" s="13">
        <v>4000</v>
      </c>
      <c r="P37" s="7"/>
      <c r="Q37" s="9">
        <f>284.17+212.66+122.96+49.56+72.08+282.7+1578.55+1078.94+642.68+771.47+75.2</f>
        <v>5170.97</v>
      </c>
      <c r="R37" s="7"/>
      <c r="S37" s="13">
        <v>3709.23</v>
      </c>
    </row>
    <row r="38" spans="2:24" x14ac:dyDescent="0.2">
      <c r="B38" s="4"/>
      <c r="K38" s="36"/>
      <c r="L38" s="8" t="s">
        <v>28</v>
      </c>
      <c r="M38" s="29"/>
      <c r="N38" s="19"/>
      <c r="O38" s="13">
        <v>0</v>
      </c>
      <c r="P38" s="7"/>
      <c r="Q38" s="9"/>
      <c r="R38" s="7"/>
      <c r="S38" s="13">
        <v>1361.95</v>
      </c>
    </row>
    <row r="39" spans="2:24" x14ac:dyDescent="0.2">
      <c r="K39" s="36"/>
      <c r="L39" s="8" t="s">
        <v>29</v>
      </c>
      <c r="M39" s="29"/>
      <c r="N39" s="19"/>
      <c r="O39" s="13">
        <v>200</v>
      </c>
      <c r="P39" s="7"/>
      <c r="Q39" s="9">
        <v>196</v>
      </c>
      <c r="R39" s="7"/>
      <c r="S39" s="13">
        <v>192</v>
      </c>
      <c r="U39" s="4">
        <v>128</v>
      </c>
    </row>
    <row r="40" spans="2:24" ht="13.5" thickBot="1" x14ac:dyDescent="0.25">
      <c r="K40" s="36"/>
      <c r="L40" s="8" t="s">
        <v>30</v>
      </c>
      <c r="M40" s="29"/>
      <c r="N40" s="19"/>
      <c r="O40" s="13">
        <v>250</v>
      </c>
      <c r="P40" s="7"/>
      <c r="Q40" s="9">
        <f>92.71+28.08</f>
        <v>120.78999999999999</v>
      </c>
      <c r="R40" s="7"/>
      <c r="S40" s="13">
        <v>3.38</v>
      </c>
      <c r="T40" s="6"/>
      <c r="U40" s="4">
        <v>201.44</v>
      </c>
      <c r="V40" s="6"/>
    </row>
    <row r="41" spans="2:24" x14ac:dyDescent="0.2">
      <c r="K41" s="36"/>
      <c r="L41" s="8" t="s">
        <v>31</v>
      </c>
      <c r="M41" s="29"/>
      <c r="N41" s="19"/>
      <c r="O41" s="13">
        <v>75</v>
      </c>
      <c r="P41" s="7"/>
      <c r="Q41" s="9"/>
      <c r="S41" s="13">
        <v>9.8000000000000007</v>
      </c>
    </row>
    <row r="42" spans="2:24" ht="13.5" thickBot="1" x14ac:dyDescent="0.25">
      <c r="F42" s="3"/>
      <c r="G42" s="3"/>
      <c r="H42" s="3"/>
      <c r="I42" s="3"/>
      <c r="K42" s="36"/>
      <c r="L42" s="8" t="s">
        <v>21</v>
      </c>
      <c r="M42" s="29"/>
      <c r="N42" s="19"/>
      <c r="O42" s="26">
        <v>0</v>
      </c>
      <c r="P42" s="11"/>
      <c r="Q42" s="6"/>
      <c r="R42" s="6"/>
      <c r="S42" s="6"/>
    </row>
    <row r="43" spans="2:24" x14ac:dyDescent="0.2">
      <c r="K43" s="36"/>
      <c r="L43" s="7"/>
      <c r="O43" s="4"/>
      <c r="R43" s="4">
        <f>SUM(R7:R41)</f>
        <v>0</v>
      </c>
      <c r="S43" s="3"/>
    </row>
    <row r="44" spans="2:24" x14ac:dyDescent="0.2">
      <c r="K44" s="36"/>
      <c r="L44" s="7"/>
      <c r="M44" s="29"/>
      <c r="N44" s="4">
        <f>SUM(N7:N43)</f>
        <v>0</v>
      </c>
      <c r="O44" s="4">
        <f>SUM(O7:O43)</f>
        <v>322545</v>
      </c>
      <c r="P44" s="4">
        <f>SUM(P7:P43)</f>
        <v>0</v>
      </c>
      <c r="Q44" s="4">
        <f>SUM(Q7:Q43)</f>
        <v>159055.39000000001</v>
      </c>
      <c r="R44" s="4"/>
      <c r="S44" s="4">
        <f>SUM(S7:S43)</f>
        <v>295605.46999999997</v>
      </c>
    </row>
    <row r="45" spans="2:24" x14ac:dyDescent="0.2">
      <c r="K45" s="36"/>
      <c r="L45" s="7"/>
      <c r="M45" s="7"/>
      <c r="O45" s="4"/>
      <c r="P45" s="4"/>
      <c r="Q45" s="4"/>
      <c r="S45" s="3"/>
    </row>
    <row r="46" spans="2:24" x14ac:dyDescent="0.2">
      <c r="K46" s="36"/>
      <c r="L46" s="7"/>
      <c r="M46" s="7"/>
      <c r="N46" s="31" t="s">
        <v>51</v>
      </c>
      <c r="O46" s="4">
        <f>B9+B23-O44</f>
        <v>151786.54999999999</v>
      </c>
      <c r="R46" s="4">
        <f>E23-R43</f>
        <v>78.12</v>
      </c>
      <c r="S46" s="3"/>
    </row>
    <row r="47" spans="2:24" x14ac:dyDescent="0.2">
      <c r="K47" s="36"/>
      <c r="L47" s="7"/>
      <c r="M47" s="7"/>
      <c r="N47" s="31" t="s">
        <v>43</v>
      </c>
      <c r="O47" s="4">
        <f>D9+D23-Q44</f>
        <v>398705.96000000008</v>
      </c>
    </row>
    <row r="49" spans="1:19" x14ac:dyDescent="0.2">
      <c r="A49" s="48" t="s">
        <v>68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x14ac:dyDescent="0.2">
      <c r="A50" s="3" t="s">
        <v>73</v>
      </c>
      <c r="L50" s="7"/>
    </row>
    <row r="51" spans="1:19" x14ac:dyDescent="0.2">
      <c r="A51" s="3" t="s">
        <v>74</v>
      </c>
      <c r="L51" s="7"/>
    </row>
    <row r="53" spans="1:19" x14ac:dyDescent="0.2">
      <c r="L53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3" zoomScale="80" zoomScaleNormal="80" workbookViewId="0">
      <selection activeCell="A17" sqref="A17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33" customHeight="1" x14ac:dyDescent="0.4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53</v>
      </c>
      <c r="B4" s="37" t="s">
        <v>54</v>
      </c>
      <c r="C4" s="38"/>
      <c r="D4" s="39" t="s">
        <v>55</v>
      </c>
      <c r="E4" s="39"/>
      <c r="F4" s="39" t="s">
        <v>49</v>
      </c>
      <c r="G4" s="39" t="s">
        <v>50</v>
      </c>
      <c r="L4" s="7"/>
      <c r="M4" s="7"/>
    </row>
    <row r="5" spans="1:13" x14ac:dyDescent="0.2">
      <c r="A5" s="3" t="s">
        <v>56</v>
      </c>
      <c r="B5" s="13">
        <f>'2015-16 Budget'!B12+'2015-16 Budget'!B13</f>
        <v>100000</v>
      </c>
      <c r="C5" s="7"/>
      <c r="D5" s="9">
        <f>'2015-16 Budget'!O16+'2015-16 Budget'!O12</f>
        <v>175000</v>
      </c>
      <c r="E5" s="9"/>
      <c r="F5" s="9">
        <f>('2015-16 Budget'!D12+'2015-16 Budget'!D13+'2015-16 Budget'!D14)-('2015-16 Budget'!Q12+'2015-16 Budget'!Q16)</f>
        <v>124151.14000000004</v>
      </c>
      <c r="G5" s="9">
        <f>('2015-16 Budget'!F12+'2015-16 Budget'!F13+'2015-16 Budget'!F14)-('2015-16 Budget'!S16+'2015-16 Budget'!S12)</f>
        <v>-2303.3500000000058</v>
      </c>
      <c r="L5" s="7"/>
      <c r="M5" s="7"/>
    </row>
    <row r="6" spans="1:13" x14ac:dyDescent="0.2">
      <c r="A6" s="3" t="s">
        <v>57</v>
      </c>
      <c r="B6" s="13">
        <f>'2015-16 Budget'!B15+'2015-16 Budget'!B16</f>
        <v>16000</v>
      </c>
      <c r="C6" s="7"/>
      <c r="D6" s="9">
        <f>'2015-16 Budget'!O23</f>
        <v>15000</v>
      </c>
      <c r="E6" s="9"/>
      <c r="F6" s="9">
        <f>('2015-16 Budget'!D15+'2015-16 Budget'!D16+'2015-16 Budget'!D17)-'2015-16 Budget'!Q23</f>
        <v>-1136.9400000000005</v>
      </c>
      <c r="G6" s="9">
        <f>('2015-16 Budget'!F15+'2015-16 Budget'!F16+'2015-16 Budget'!F17)-'2015-16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Budget'!B19</f>
        <v>4000</v>
      </c>
      <c r="D7" s="22">
        <f>'2015-16 Budget'!O8</f>
        <v>22000</v>
      </c>
      <c r="F7" s="22">
        <f>'2015-16 Budget'!D19-'2015-16 Budget'!Q8</f>
        <v>-8741.94</v>
      </c>
      <c r="G7" s="4">
        <f>'2015-16 Budget'!F19-'2015-16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Budget'!B21</f>
        <v>7500</v>
      </c>
      <c r="D8" s="22">
        <f>'2015-16 Budget'!O7</f>
        <v>30000</v>
      </c>
      <c r="F8" s="22">
        <f>'2015-16 Budget'!D21-'2015-16 Budget'!Q7</f>
        <v>-12210.980000000001</v>
      </c>
      <c r="G8" s="4">
        <f>'2015-16 Budget'!F21-'2015-16 Budget'!S8</f>
        <v>-6330.24</v>
      </c>
      <c r="L8" s="7"/>
      <c r="M8" s="7"/>
    </row>
    <row r="9" spans="1:13" x14ac:dyDescent="0.2">
      <c r="A9" s="3" t="s">
        <v>36</v>
      </c>
      <c r="B9" s="22">
        <f>'2015-16 Budget'!B18</f>
        <v>10000</v>
      </c>
      <c r="D9" s="22">
        <v>0</v>
      </c>
      <c r="F9" s="22">
        <f>'2015-16 Budget'!D18</f>
        <v>13483</v>
      </c>
      <c r="G9" s="4">
        <f>'2015-16 Budget'!F18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32</v>
      </c>
      <c r="B10" s="22">
        <f>'2015-16 Budget'!B20</f>
        <v>60</v>
      </c>
      <c r="D10" s="22">
        <v>0</v>
      </c>
      <c r="F10" s="22">
        <f>'2015-16 Budget'!D20</f>
        <v>59.79</v>
      </c>
      <c r="G10" s="4">
        <f>'2015-16 Budget'!F20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45</v>
      </c>
      <c r="B11" s="22">
        <v>0</v>
      </c>
      <c r="D11" s="22">
        <f>'2015-16 Budget'!O11</f>
        <v>0</v>
      </c>
      <c r="F11" s="22">
        <f>'2015-16 Budget'!Q11</f>
        <v>0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58</v>
      </c>
      <c r="B12" s="22">
        <v>0</v>
      </c>
      <c r="D12" s="22">
        <f>'2015-16 Budget'!O21</f>
        <v>1000</v>
      </c>
      <c r="F12" s="22">
        <f>'2015-16 Budget'!Q21</f>
        <v>668.44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59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30000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60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35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71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1104.54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44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9800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3700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46</v>
      </c>
      <c r="B19" s="22">
        <v>0</v>
      </c>
      <c r="C19" s="7"/>
      <c r="D19" s="22">
        <v>0</v>
      </c>
      <c r="E19" s="9"/>
      <c r="F19" s="9">
        <f>'2015-16 Budget'!Q32</f>
        <v>2.16</v>
      </c>
      <c r="G19" s="9">
        <f>'2015-16 Budget'!S32</f>
        <v>21.1</v>
      </c>
      <c r="L19" s="7"/>
      <c r="M19" s="7"/>
    </row>
    <row r="20" spans="1:13" x14ac:dyDescent="0.2">
      <c r="A20" s="3" t="s">
        <v>42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559.32999999999993</v>
      </c>
      <c r="G20" s="4">
        <f>'2015-16 Budget'!S33</f>
        <v>1780.97</v>
      </c>
      <c r="L20" s="7"/>
      <c r="M20" s="7"/>
    </row>
    <row r="21" spans="1:13" x14ac:dyDescent="0.2">
      <c r="A21" s="3" t="s">
        <v>40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579.1</v>
      </c>
      <c r="G21" s="4">
        <f>'2015-16 Budget'!S34</f>
        <v>349.16</v>
      </c>
      <c r="L21" s="7"/>
      <c r="M21" s="7"/>
    </row>
    <row r="22" spans="1:13" x14ac:dyDescent="0.2">
      <c r="A22" s="3" t="s">
        <v>70</v>
      </c>
      <c r="B22" s="22">
        <v>0</v>
      </c>
      <c r="C22" s="4"/>
      <c r="D22" s="4">
        <f>'2015-16 Budget'!O35</f>
        <v>0</v>
      </c>
      <c r="E22" s="4"/>
      <c r="F22" s="4">
        <f>'2015-16 Budget'!Q35</f>
        <v>1108.8799999999999</v>
      </c>
      <c r="G22" s="4">
        <f>'2015-16 Budget'!S35</f>
        <v>0</v>
      </c>
      <c r="L22" s="7"/>
      <c r="M22" s="7"/>
    </row>
    <row r="23" spans="1:13" x14ac:dyDescent="0.2">
      <c r="A23" s="3" t="s">
        <v>61</v>
      </c>
      <c r="B23" s="22">
        <v>0</v>
      </c>
      <c r="D23" s="22">
        <f>'2015-16 Budget'!O36</f>
        <v>720</v>
      </c>
      <c r="E23" s="22">
        <f>'2015-16 Budget'!P36</f>
        <v>0</v>
      </c>
      <c r="F23" s="22">
        <f>'2015-16 Budget'!Q36</f>
        <v>659.45</v>
      </c>
      <c r="G23" s="22">
        <f>'2015-16 Budget'!S36</f>
        <v>659.45</v>
      </c>
      <c r="L23" s="7"/>
      <c r="M23" s="7"/>
    </row>
    <row r="24" spans="1:13" x14ac:dyDescent="0.2">
      <c r="A24" s="3" t="s">
        <v>27</v>
      </c>
      <c r="B24" s="22">
        <v>0</v>
      </c>
      <c r="D24" s="22">
        <f>'2015-16 Budget'!O37</f>
        <v>4000</v>
      </c>
      <c r="F24" s="22">
        <f>'2015-16 Budget'!Q37</f>
        <v>5170.97</v>
      </c>
      <c r="G24" s="22">
        <f>'2015-16 Budget'!S37</f>
        <v>3709.23</v>
      </c>
      <c r="L24" s="7"/>
      <c r="M24" s="7"/>
    </row>
    <row r="25" spans="1:13" x14ac:dyDescent="0.2">
      <c r="A25" s="3" t="s">
        <v>28</v>
      </c>
      <c r="B25" s="22">
        <v>0</v>
      </c>
      <c r="D25" s="22">
        <f>'2015-16 Budget'!O38</f>
        <v>0</v>
      </c>
      <c r="F25" s="22">
        <f>'2015-16 Budget'!Q39</f>
        <v>196</v>
      </c>
      <c r="G25" s="22">
        <f>'2015-16 Budget'!S38</f>
        <v>1361.95</v>
      </c>
      <c r="L25" s="7"/>
      <c r="M25" s="7"/>
    </row>
    <row r="26" spans="1:13" x14ac:dyDescent="0.2">
      <c r="A26" s="3" t="s">
        <v>29</v>
      </c>
      <c r="B26" s="22">
        <v>0</v>
      </c>
      <c r="D26" s="22">
        <f>'2015-16 Budget'!O39</f>
        <v>200</v>
      </c>
      <c r="F26" s="22">
        <f>'2015-16 Budget'!Q39</f>
        <v>196</v>
      </c>
      <c r="G26" s="4">
        <f>'2015-16 Budget'!S39</f>
        <v>192</v>
      </c>
      <c r="L26" s="7"/>
      <c r="M26" s="7"/>
    </row>
    <row r="27" spans="1:13" x14ac:dyDescent="0.2">
      <c r="A27" s="3" t="s">
        <v>30</v>
      </c>
      <c r="B27" s="22">
        <v>0</v>
      </c>
      <c r="D27" s="22">
        <f>'2015-16 Budget'!O40</f>
        <v>250</v>
      </c>
      <c r="E27" s="9">
        <f xml:space="preserve"> SUM(H4:H17)</f>
        <v>0</v>
      </c>
      <c r="F27" s="9">
        <f>'2015-16 Budget'!Q40</f>
        <v>120.78999999999999</v>
      </c>
      <c r="G27" s="4">
        <f>'2015-16 Budget'!S40</f>
        <v>3.38</v>
      </c>
      <c r="L27" s="7"/>
      <c r="M27" s="7"/>
    </row>
    <row r="28" spans="1:13" x14ac:dyDescent="0.2">
      <c r="A28" s="3" t="s">
        <v>31</v>
      </c>
      <c r="B28" s="22">
        <v>0</v>
      </c>
      <c r="D28" s="4">
        <f>'2015-16 Budget'!O41</f>
        <v>75</v>
      </c>
      <c r="E28" s="9" t="e">
        <f>SUM(#REF!)</f>
        <v>#REF!</v>
      </c>
      <c r="F28" s="9">
        <f>'2015-16 Budget'!Q41</f>
        <v>0</v>
      </c>
      <c r="G28" s="4">
        <f>'2015-16 Budget'!S41</f>
        <v>9.8000000000000007</v>
      </c>
      <c r="L28" s="7"/>
      <c r="M28" s="7"/>
    </row>
    <row r="29" spans="1:13" ht="13.5" thickBot="1" x14ac:dyDescent="0.25">
      <c r="A29" s="3" t="s">
        <v>19</v>
      </c>
      <c r="B29" s="40">
        <v>0</v>
      </c>
      <c r="C29" s="11"/>
      <c r="D29" s="40">
        <v>0</v>
      </c>
      <c r="E29" s="6" t="e">
        <f>E27-E28</f>
        <v>#REF!</v>
      </c>
      <c r="F29" s="6">
        <f>'2015-16 Budget'!D22</f>
        <v>0</v>
      </c>
      <c r="G29" s="6">
        <f>'2015-16 Budget'!F22</f>
        <v>0</v>
      </c>
      <c r="L29" s="7"/>
      <c r="M29" s="7"/>
    </row>
    <row r="30" spans="1:13" x14ac:dyDescent="0.2">
      <c r="B30" s="22">
        <f>SUM(B5:B29)</f>
        <v>137560</v>
      </c>
      <c r="D30" s="22">
        <f>SUM(D5:D29)</f>
        <v>317545</v>
      </c>
      <c r="F30" s="22">
        <f>SUM(F5:F29)</f>
        <v>169469.73000000007</v>
      </c>
      <c r="G30" s="22">
        <f>SUM(G5:G29)</f>
        <v>47378.829999999994</v>
      </c>
      <c r="L30" s="7"/>
      <c r="M30" s="7"/>
    </row>
    <row r="31" spans="1:13" x14ac:dyDescent="0.2">
      <c r="B31" s="4"/>
      <c r="L31" s="7"/>
      <c r="M31" s="7"/>
    </row>
    <row r="32" spans="1:13" x14ac:dyDescent="0.2">
      <c r="L32" s="7"/>
      <c r="M32" s="7"/>
    </row>
    <row r="33" spans="1:13" x14ac:dyDescent="0.2">
      <c r="A33" s="41" t="s">
        <v>23</v>
      </c>
      <c r="B33" s="42">
        <f>'2015-16 Budget'!B7</f>
        <v>336702.55</v>
      </c>
      <c r="L33" s="7"/>
      <c r="M33" s="7"/>
    </row>
    <row r="34" spans="1:13" x14ac:dyDescent="0.2">
      <c r="A34" s="41" t="s">
        <v>3</v>
      </c>
      <c r="B34" s="42">
        <f>'2015-16 Budget'!B8</f>
        <v>69</v>
      </c>
      <c r="L34" s="7"/>
      <c r="M34" s="7"/>
    </row>
    <row r="35" spans="1:13" x14ac:dyDescent="0.2">
      <c r="A35" s="43" t="s">
        <v>63</v>
      </c>
      <c r="B35" s="44">
        <f>B33+B34</f>
        <v>336771.55</v>
      </c>
      <c r="G35" s="3"/>
      <c r="H35" s="3"/>
      <c r="I35" s="3"/>
      <c r="J35" s="3"/>
      <c r="L35" s="7"/>
      <c r="M35" s="7"/>
    </row>
    <row r="36" spans="1:13" x14ac:dyDescent="0.2">
      <c r="A36" s="41" t="s">
        <v>64</v>
      </c>
      <c r="B36" s="45">
        <f>B30-D30</f>
        <v>-179985</v>
      </c>
      <c r="L36" s="7"/>
      <c r="M36" s="7"/>
    </row>
    <row r="37" spans="1:13" x14ac:dyDescent="0.2">
      <c r="A37" s="46" t="s">
        <v>65</v>
      </c>
      <c r="B37" s="44">
        <f>B35+B36</f>
        <v>156786.54999999999</v>
      </c>
      <c r="L37" s="7"/>
      <c r="M37" s="7"/>
    </row>
    <row r="38" spans="1:13" x14ac:dyDescent="0.2">
      <c r="L38" s="7"/>
      <c r="M38" s="7"/>
    </row>
    <row r="39" spans="1:13" x14ac:dyDescent="0.2">
      <c r="L39" s="7"/>
      <c r="M39" s="7"/>
    </row>
    <row r="40" spans="1:13" x14ac:dyDescent="0.2">
      <c r="B40" s="9"/>
      <c r="L40" s="7"/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  <row r="46" spans="1:13" x14ac:dyDescent="0.2">
      <c r="M46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Raquel Kuhfahl</cp:lastModifiedBy>
  <cp:lastPrinted>2009-10-05T13:19:25Z</cp:lastPrinted>
  <dcterms:created xsi:type="dcterms:W3CDTF">2008-08-29T16:27:41Z</dcterms:created>
  <dcterms:modified xsi:type="dcterms:W3CDTF">2016-06-28T13:51:26Z</dcterms:modified>
</cp:coreProperties>
</file>